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0" yWindow="60" windowWidth="28680" windowHeight="16280" activeTab="0"/>
  </bookViews>
  <sheets>
    <sheet name="SIGNOISE" sheetId="1" r:id="rId1"/>
  </sheets>
  <definedNames>
    <definedName name="_xlnm.Print_Area" localSheetId="0">'SIGNOISE'!$A$1:$AG$190</definedName>
  </definedNames>
  <calcPr fullCalcOnLoad="1"/>
</workbook>
</file>

<file path=xl/sharedStrings.xml><?xml version="1.0" encoding="utf-8"?>
<sst xmlns="http://schemas.openxmlformats.org/spreadsheetml/2006/main" count="276" uniqueCount="92">
  <si>
    <t>"Aperture Diam / Star FWHM" is used to calculate the noise under the star profile and is assumed to contain all the starlight.</t>
  </si>
  <si>
    <t>Pixels</t>
  </si>
  <si>
    <t>Aperture Radius</t>
  </si>
  <si>
    <t>This spreadsheet is setup for filtered V band measurements.  A rectangular filter transmission curve is assumed.</t>
  </si>
  <si>
    <t>"Efficiency" is the combined transmission &amp; reflectivity of all optical elements.</t>
  </si>
  <si>
    <t>"Backgr flux" (background flux) is the sum of the flux from the sky and the detector's dark current.</t>
  </si>
  <si>
    <t>NOTE: Shaded columns with the word "calc" are calculated by the spreadsheet and should not be typed over manually.</t>
  </si>
  <si>
    <t>Camera</t>
  </si>
  <si>
    <t xml:space="preserve"> </t>
  </si>
  <si>
    <t>Sensor</t>
  </si>
  <si>
    <t>Instrument</t>
  </si>
  <si>
    <t>Observations</t>
  </si>
  <si>
    <t>Results</t>
  </si>
  <si>
    <t>pixel size</t>
  </si>
  <si>
    <t>QE</t>
  </si>
  <si>
    <t>Read noise</t>
  </si>
  <si>
    <t>Dark Current ref. val.</t>
  </si>
  <si>
    <t>Doubling Temp</t>
  </si>
  <si>
    <t>Dark Current</t>
  </si>
  <si>
    <t>Gain</t>
  </si>
  <si>
    <t>Bin</t>
  </si>
  <si>
    <t>Exp. time</t>
  </si>
  <si>
    <t>Diam</t>
  </si>
  <si>
    <t>Sec. diam</t>
  </si>
  <si>
    <t>Filter band</t>
  </si>
  <si>
    <t>Effic-iency</t>
  </si>
  <si>
    <t>Image scale</t>
  </si>
  <si>
    <t>Detected flux for V=0</t>
  </si>
  <si>
    <t>Sky V mag.</t>
  </si>
  <si>
    <t>Sky   Flux</t>
  </si>
  <si>
    <t>Total Backgr. Flux</t>
  </si>
  <si>
    <t>Sky / Total Bg</t>
  </si>
  <si>
    <t>Total Bg S/N</t>
  </si>
  <si>
    <t>Object</t>
  </si>
  <si>
    <t>Seeing</t>
  </si>
  <si>
    <t>Object area</t>
  </si>
  <si>
    <t>Object flux</t>
  </si>
  <si>
    <t>S/N</t>
  </si>
  <si>
    <t>Mag sigma</t>
  </si>
  <si>
    <t xml:space="preserve">(units) </t>
  </si>
  <si>
    <t>micron</t>
  </si>
  <si>
    <t>%</t>
  </si>
  <si>
    <t>e-</t>
  </si>
  <si>
    <t>pA/cm2@25C</t>
  </si>
  <si>
    <t>C</t>
  </si>
  <si>
    <t>e-/sec/pix</t>
  </si>
  <si>
    <t>e-/adu</t>
  </si>
  <si>
    <t>sec</t>
  </si>
  <si>
    <t>e-/pix</t>
  </si>
  <si>
    <t>in.</t>
  </si>
  <si>
    <t>A</t>
  </si>
  <si>
    <t>''/pix</t>
  </si>
  <si>
    <t>e-/sec</t>
  </si>
  <si>
    <t>V/sq. ''</t>
  </si>
  <si>
    <t>Ct/s/pix</t>
  </si>
  <si>
    <t>Vmag</t>
  </si>
  <si>
    <t>FWHM (")</t>
  </si>
  <si>
    <t>pixels</t>
  </si>
  <si>
    <t>mags.</t>
  </si>
  <si>
    <t>calc</t>
  </si>
  <si>
    <t xml:space="preserve">AP-7 </t>
  </si>
  <si>
    <t>FLI</t>
  </si>
  <si>
    <t>HPC-1</t>
  </si>
  <si>
    <t>ST-6</t>
  </si>
  <si>
    <t>FLI Tektronix back</t>
  </si>
  <si>
    <t>JM</t>
  </si>
  <si>
    <t>MN</t>
  </si>
  <si>
    <t>JF</t>
  </si>
  <si>
    <t>x</t>
  </si>
  <si>
    <t>KA</t>
  </si>
  <si>
    <t>BM</t>
  </si>
  <si>
    <t>SITe back</t>
  </si>
  <si>
    <t>KAF-260</t>
  </si>
  <si>
    <t>THX 7899M</t>
  </si>
  <si>
    <t>KAF</t>
  </si>
  <si>
    <t>TC-215</t>
  </si>
  <si>
    <t>Copyright (C) 1995 Michael V. Newberry.  All rights reserved.</t>
  </si>
  <si>
    <t>Observing Site</t>
  </si>
  <si>
    <t>Focal length</t>
  </si>
  <si>
    <t>CCD Temp</t>
  </si>
  <si>
    <t>Total Base Noise</t>
  </si>
  <si>
    <t>square arcsec</t>
  </si>
  <si>
    <t>Counts / sec</t>
  </si>
  <si>
    <t>ST-8</t>
  </si>
  <si>
    <t>ST-9</t>
  </si>
  <si>
    <t>ST-10</t>
  </si>
  <si>
    <t>The area covered by the star is (A * FWHM), where FWHM = "seeing" and A is Aperture Diameter / FWHM</t>
  </si>
  <si>
    <t>Bandpasses other than V may be used by changing the Hayes &amp; Latham Vega calibration of "940" in the "Detected Flux" column.</t>
  </si>
  <si>
    <t>The Sky is assumed to be measured over a "large number" of pixels so the sky noise becomes negligible compared to other noise sources.</t>
  </si>
  <si>
    <t>Signal to Noise calculation for Stellar Photometry</t>
  </si>
  <si>
    <t>Aperture Diam / Star FWHM</t>
  </si>
  <si>
    <t>Diam / FWHM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</si>
</sst>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  <numFmt numFmtId="165" formatCode="0.000"/>
    <numFmt numFmtId="166" formatCode="0.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b/>
      <sz val="12"/>
      <name val="MS Sans Serif"/>
      <family val="0"/>
    </font>
    <font>
      <sz val="8"/>
      <name val="Arial"/>
      <family val="0"/>
    </font>
    <font>
      <b/>
      <sz val="8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b/>
      <sz val="11"/>
      <name val="Verdana"/>
      <family val="2"/>
    </font>
    <font>
      <sz val="10"/>
      <name val="Verdana"/>
      <family val="0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165" fontId="4" fillId="0" borderId="0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165" fontId="5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165" fontId="1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2" fontId="5" fillId="0" borderId="3" xfId="0" applyNumberFormat="1" applyFont="1" applyBorder="1" applyAlignment="1">
      <alignment horizontal="left"/>
    </xf>
    <xf numFmtId="2" fontId="1" fillId="0" borderId="3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165" fontId="0" fillId="0" borderId="0" xfId="0" applyNumberFormat="1" applyFont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6" xfId="0" applyFont="1" applyFill="1" applyBorder="1" applyAlignment="1">
      <alignment horizontal="left" wrapText="1"/>
    </xf>
    <xf numFmtId="0" fontId="0" fillId="0" borderId="7" xfId="0" applyFont="1" applyFill="1" applyBorder="1" applyAlignment="1">
      <alignment horizontal="left" wrapText="1"/>
    </xf>
    <xf numFmtId="3" fontId="0" fillId="0" borderId="6" xfId="0" applyNumberFormat="1" applyFont="1" applyFill="1" applyBorder="1" applyAlignment="1">
      <alignment horizontal="left" wrapText="1"/>
    </xf>
    <xf numFmtId="165" fontId="0" fillId="0" borderId="6" xfId="0" applyNumberFormat="1" applyFont="1" applyFill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8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3" fontId="1" fillId="2" borderId="10" xfId="0" applyNumberFormat="1" applyFont="1" applyFill="1" applyBorder="1" applyAlignment="1">
      <alignment horizontal="left" wrapText="1"/>
    </xf>
    <xf numFmtId="2" fontId="1" fillId="2" borderId="2" xfId="0" applyNumberFormat="1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165" fontId="1" fillId="2" borderId="9" xfId="0" applyNumberFormat="1" applyFont="1" applyFill="1" applyBorder="1" applyAlignment="1">
      <alignment horizontal="left"/>
    </xf>
    <xf numFmtId="164" fontId="1" fillId="2" borderId="12" xfId="0" applyNumberFormat="1" applyFont="1" applyFill="1" applyBorder="1" applyAlignment="1">
      <alignment horizontal="left"/>
    </xf>
    <xf numFmtId="0" fontId="1" fillId="3" borderId="7" xfId="0" applyFont="1" applyFill="1" applyBorder="1" applyAlignment="1">
      <alignment horizontal="left" wrapText="1"/>
    </xf>
    <xf numFmtId="2" fontId="1" fillId="3" borderId="7" xfId="0" applyNumberFormat="1" applyFont="1" applyFill="1" applyBorder="1" applyAlignment="1">
      <alignment horizontal="left" wrapText="1"/>
    </xf>
    <xf numFmtId="0" fontId="1" fillId="3" borderId="11" xfId="0" applyFont="1" applyFill="1" applyBorder="1" applyAlignment="1">
      <alignment horizontal="left" wrapText="1"/>
    </xf>
    <xf numFmtId="4" fontId="1" fillId="3" borderId="9" xfId="0" applyNumberFormat="1" applyFont="1" applyFill="1" applyBorder="1" applyAlignment="1">
      <alignment horizontal="left"/>
    </xf>
    <xf numFmtId="166" fontId="1" fillId="3" borderId="12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2" fontId="1" fillId="2" borderId="11" xfId="0" applyNumberFormat="1" applyFont="1" applyFill="1" applyBorder="1" applyAlignment="1">
      <alignment horizontal="left" wrapText="1"/>
    </xf>
    <xf numFmtId="2" fontId="1" fillId="2" borderId="13" xfId="0" applyNumberFormat="1" applyFont="1" applyFill="1" applyBorder="1" applyAlignment="1">
      <alignment horizontal="left" wrapText="1"/>
    </xf>
    <xf numFmtId="2" fontId="1" fillId="2" borderId="0" xfId="0" applyNumberFormat="1" applyFont="1" applyFill="1" applyBorder="1" applyAlignment="1">
      <alignment horizontal="left"/>
    </xf>
    <xf numFmtId="2" fontId="1" fillId="2" borderId="12" xfId="0" applyNumberFormat="1" applyFont="1" applyFill="1" applyBorder="1" applyAlignment="1">
      <alignment horizontal="left"/>
    </xf>
    <xf numFmtId="2" fontId="1" fillId="2" borderId="3" xfId="0" applyNumberFormat="1" applyFont="1" applyFill="1" applyBorder="1" applyAlignment="1">
      <alignment horizontal="left"/>
    </xf>
    <xf numFmtId="165" fontId="1" fillId="2" borderId="12" xfId="0" applyNumberFormat="1" applyFont="1" applyFill="1" applyBorder="1" applyAlignment="1">
      <alignment horizontal="left"/>
    </xf>
    <xf numFmtId="0" fontId="1" fillId="2" borderId="7" xfId="0" applyFont="1" applyFill="1" applyBorder="1" applyAlignment="1">
      <alignment horizontal="left" wrapText="1"/>
    </xf>
    <xf numFmtId="0" fontId="10" fillId="0" borderId="14" xfId="0" applyFont="1" applyBorder="1" applyAlignment="1" applyProtection="1">
      <alignment horizontal="left"/>
      <protection locked="0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5" xfId="0" applyFont="1" applyBorder="1" applyAlignment="1">
      <alignment horizontal="left" wrapText="1"/>
    </xf>
    <xf numFmtId="0" fontId="10" fillId="4" borderId="16" xfId="0" applyFont="1" applyFill="1" applyBorder="1" applyAlignment="1" applyProtection="1">
      <alignment horizontal="left"/>
      <protection locked="0"/>
    </xf>
    <xf numFmtId="0" fontId="10" fillId="4" borderId="14" xfId="0" applyFont="1" applyFill="1" applyBorder="1" applyAlignment="1" applyProtection="1">
      <alignment horizontal="left"/>
      <protection locked="0"/>
    </xf>
    <xf numFmtId="3" fontId="10" fillId="4" borderId="14" xfId="0" applyNumberFormat="1" applyFont="1" applyFill="1" applyBorder="1" applyAlignment="1" applyProtection="1">
      <alignment horizontal="left"/>
      <protection locked="0"/>
    </xf>
    <xf numFmtId="3" fontId="10" fillId="4" borderId="17" xfId="0" applyNumberFormat="1" applyFont="1" applyFill="1" applyBorder="1" applyAlignment="1" applyProtection="1">
      <alignment horizontal="left"/>
      <protection locked="0"/>
    </xf>
    <xf numFmtId="0" fontId="10" fillId="4" borderId="14" xfId="0" applyFont="1" applyFill="1" applyBorder="1" applyAlignment="1" applyProtection="1">
      <alignment horizontal="centerContinuous"/>
      <protection locked="0"/>
    </xf>
    <xf numFmtId="0" fontId="10" fillId="4" borderId="14" xfId="0" applyFont="1" applyFill="1" applyBorder="1" applyAlignment="1">
      <alignment/>
    </xf>
    <xf numFmtId="165" fontId="10" fillId="4" borderId="14" xfId="0" applyNumberFormat="1" applyFont="1" applyFill="1" applyBorder="1" applyAlignment="1" applyProtection="1">
      <alignment horizontal="centerContinuous"/>
      <protection locked="0"/>
    </xf>
    <xf numFmtId="0" fontId="10" fillId="4" borderId="17" xfId="0" applyFont="1" applyFill="1" applyBorder="1" applyAlignment="1" applyProtection="1">
      <alignment horizontal="centerContinuous"/>
      <protection locked="0"/>
    </xf>
    <xf numFmtId="2" fontId="10" fillId="4" borderId="14" xfId="0" applyNumberFormat="1" applyFont="1" applyFill="1" applyBorder="1" applyAlignment="1" applyProtection="1">
      <alignment horizontal="centerContinuous"/>
      <protection locked="0"/>
    </xf>
    <xf numFmtId="165" fontId="10" fillId="4" borderId="14" xfId="0" applyNumberFormat="1" applyFont="1" applyFill="1" applyBorder="1" applyAlignment="1" applyProtection="1">
      <alignment horizontal="left"/>
      <protection locked="0"/>
    </xf>
    <xf numFmtId="0" fontId="10" fillId="4" borderId="18" xfId="0" applyFont="1" applyFill="1" applyBorder="1" applyAlignment="1" applyProtection="1">
      <alignment horizontal="left"/>
      <protection locked="0"/>
    </xf>
    <xf numFmtId="0" fontId="10" fillId="4" borderId="19" xfId="0" applyFont="1" applyFill="1" applyBorder="1" applyAlignment="1">
      <alignment/>
    </xf>
    <xf numFmtId="2" fontId="10" fillId="4" borderId="20" xfId="0" applyNumberFormat="1" applyFont="1" applyFill="1" applyBorder="1" applyAlignment="1" applyProtection="1">
      <alignment horizontal="centerContinuous"/>
      <protection locked="0"/>
    </xf>
    <xf numFmtId="0" fontId="11" fillId="4" borderId="21" xfId="0" applyFont="1" applyFill="1" applyBorder="1" applyAlignment="1">
      <alignment horizontal="left" wrapText="1"/>
    </xf>
    <xf numFmtId="0" fontId="11" fillId="4" borderId="22" xfId="0" applyFont="1" applyFill="1" applyBorder="1" applyAlignment="1">
      <alignment horizontal="left" wrapText="1"/>
    </xf>
    <xf numFmtId="0" fontId="11" fillId="4" borderId="23" xfId="0" applyFont="1" applyFill="1" applyBorder="1" applyAlignment="1">
      <alignment horizontal="left" wrapText="1"/>
    </xf>
    <xf numFmtId="3" fontId="11" fillId="4" borderId="22" xfId="0" applyNumberFormat="1" applyFont="1" applyFill="1" applyBorder="1" applyAlignment="1">
      <alignment horizontal="left" wrapText="1"/>
    </xf>
    <xf numFmtId="3" fontId="11" fillId="4" borderId="24" xfId="0" applyNumberFormat="1" applyFont="1" applyFill="1" applyBorder="1" applyAlignment="1">
      <alignment horizontal="left" wrapText="1"/>
    </xf>
    <xf numFmtId="0" fontId="11" fillId="4" borderId="25" xfId="0" applyFont="1" applyFill="1" applyBorder="1" applyAlignment="1">
      <alignment horizontal="left" wrapText="1"/>
    </xf>
    <xf numFmtId="165" fontId="11" fillId="4" borderId="23" xfId="0" applyNumberFormat="1" applyFont="1" applyFill="1" applyBorder="1" applyAlignment="1">
      <alignment horizontal="left" wrapText="1"/>
    </xf>
    <xf numFmtId="0" fontId="11" fillId="4" borderId="26" xfId="0" applyFont="1" applyFill="1" applyBorder="1" applyAlignment="1">
      <alignment horizontal="left" wrapText="1"/>
    </xf>
    <xf numFmtId="0" fontId="11" fillId="5" borderId="23" xfId="0" applyFont="1" applyFill="1" applyBorder="1" applyAlignment="1">
      <alignment horizontal="left" wrapText="1"/>
    </xf>
    <xf numFmtId="2" fontId="11" fillId="5" borderId="23" xfId="0" applyNumberFormat="1" applyFont="1" applyFill="1" applyBorder="1" applyAlignment="1">
      <alignment horizontal="left" wrapText="1"/>
    </xf>
    <xf numFmtId="2" fontId="11" fillId="5" borderId="27" xfId="0" applyNumberFormat="1" applyFont="1" applyFill="1" applyBorder="1" applyAlignment="1">
      <alignment horizontal="left" wrapText="1"/>
    </xf>
    <xf numFmtId="0" fontId="11" fillId="5" borderId="26" xfId="0" applyFont="1" applyFill="1" applyBorder="1" applyAlignment="1">
      <alignment horizontal="left" wrapText="1"/>
    </xf>
    <xf numFmtId="165" fontId="11" fillId="4" borderId="22" xfId="0" applyNumberFormat="1" applyFont="1" applyFill="1" applyBorder="1" applyAlignment="1">
      <alignment horizontal="left" wrapText="1"/>
    </xf>
    <xf numFmtId="2" fontId="11" fillId="4" borderId="28" xfId="0" applyNumberFormat="1" applyFont="1" applyFill="1" applyBorder="1" applyAlignment="1">
      <alignment horizontal="left" wrapText="1"/>
    </xf>
    <xf numFmtId="2" fontId="11" fillId="4" borderId="29" xfId="0" applyNumberFormat="1" applyFont="1" applyFill="1" applyBorder="1" applyAlignment="1">
      <alignment horizontal="left" wrapText="1"/>
    </xf>
    <xf numFmtId="0" fontId="11" fillId="4" borderId="28" xfId="0" applyFont="1" applyFill="1" applyBorder="1" applyAlignment="1">
      <alignment horizontal="left" wrapText="1"/>
    </xf>
    <xf numFmtId="0" fontId="11" fillId="4" borderId="30" xfId="0" applyFont="1" applyFill="1" applyBorder="1" applyAlignment="1">
      <alignment horizontal="right" wrapText="1"/>
    </xf>
    <xf numFmtId="0" fontId="11" fillId="4" borderId="27" xfId="0" applyFont="1" applyFill="1" applyBorder="1" applyAlignment="1">
      <alignment horizontal="left" wrapText="1"/>
    </xf>
    <xf numFmtId="3" fontId="11" fillId="4" borderId="25" xfId="0" applyNumberFormat="1" applyFont="1" applyFill="1" applyBorder="1" applyAlignment="1">
      <alignment horizontal="left" wrapText="1"/>
    </xf>
    <xf numFmtId="165" fontId="11" fillId="4" borderId="25" xfId="0" applyNumberFormat="1" applyFont="1" applyFill="1" applyBorder="1" applyAlignment="1">
      <alignment horizontal="left" wrapText="1"/>
    </xf>
    <xf numFmtId="3" fontId="11" fillId="4" borderId="31" xfId="0" applyNumberFormat="1" applyFont="1" applyFill="1" applyBorder="1" applyAlignment="1">
      <alignment horizontal="left" wrapText="1"/>
    </xf>
    <xf numFmtId="165" fontId="11" fillId="4" borderId="27" xfId="0" applyNumberFormat="1" applyFont="1" applyFill="1" applyBorder="1" applyAlignment="1" quotePrefix="1">
      <alignment horizontal="left" wrapText="1"/>
    </xf>
    <xf numFmtId="0" fontId="11" fillId="5" borderId="27" xfId="0" applyFont="1" applyFill="1" applyBorder="1" applyAlignment="1">
      <alignment horizontal="left" wrapText="1"/>
    </xf>
    <xf numFmtId="0" fontId="11" fillId="5" borderId="28" xfId="0" applyFont="1" applyFill="1" applyBorder="1" applyAlignment="1">
      <alignment horizontal="left" wrapText="1"/>
    </xf>
    <xf numFmtId="2" fontId="11" fillId="4" borderId="26" xfId="0" applyNumberFormat="1" applyFont="1" applyFill="1" applyBorder="1" applyAlignment="1">
      <alignment horizontal="left" wrapText="1"/>
    </xf>
    <xf numFmtId="2" fontId="11" fillId="4" borderId="32" xfId="0" applyNumberFormat="1" applyFont="1" applyFill="1" applyBorder="1" applyAlignment="1">
      <alignment horizontal="left" wrapText="1"/>
    </xf>
    <xf numFmtId="0" fontId="0" fillId="6" borderId="8" xfId="0" applyFont="1" applyFill="1" applyBorder="1" applyAlignment="1">
      <alignment horizontal="left"/>
    </xf>
    <xf numFmtId="0" fontId="0" fillId="6" borderId="0" xfId="0" applyFont="1" applyFill="1" applyBorder="1" applyAlignment="1">
      <alignment horizontal="left"/>
    </xf>
    <xf numFmtId="165" fontId="1" fillId="6" borderId="9" xfId="0" applyNumberFormat="1" applyFont="1" applyFill="1" applyBorder="1" applyAlignment="1">
      <alignment horizontal="left"/>
    </xf>
    <xf numFmtId="0" fontId="0" fillId="6" borderId="9" xfId="0" applyFont="1" applyFill="1" applyBorder="1" applyAlignment="1">
      <alignment horizontal="left"/>
    </xf>
    <xf numFmtId="3" fontId="0" fillId="6" borderId="0" xfId="0" applyNumberFormat="1" applyFont="1" applyFill="1" applyBorder="1" applyAlignment="1">
      <alignment horizontal="left"/>
    </xf>
    <xf numFmtId="2" fontId="1" fillId="6" borderId="2" xfId="0" applyNumberFormat="1" applyFont="1" applyFill="1" applyBorder="1" applyAlignment="1">
      <alignment horizontal="left"/>
    </xf>
    <xf numFmtId="164" fontId="1" fillId="6" borderId="12" xfId="0" applyNumberFormat="1" applyFont="1" applyFill="1" applyBorder="1" applyAlignment="1">
      <alignment horizontal="left"/>
    </xf>
    <xf numFmtId="4" fontId="1" fillId="7" borderId="9" xfId="0" applyNumberFormat="1" applyFont="1" applyFill="1" applyBorder="1" applyAlignment="1">
      <alignment horizontal="left"/>
    </xf>
    <xf numFmtId="166" fontId="1" fillId="7" borderId="12" xfId="0" applyNumberFormat="1" applyFont="1" applyFill="1" applyBorder="1" applyAlignment="1">
      <alignment horizontal="left"/>
    </xf>
    <xf numFmtId="165" fontId="0" fillId="6" borderId="0" xfId="0" applyNumberFormat="1" applyFont="1" applyFill="1" applyBorder="1" applyAlignment="1">
      <alignment horizontal="left"/>
    </xf>
    <xf numFmtId="2" fontId="0" fillId="6" borderId="0" xfId="0" applyNumberFormat="1" applyFont="1" applyFill="1" applyBorder="1" applyAlignment="1">
      <alignment horizontal="left"/>
    </xf>
    <xf numFmtId="2" fontId="1" fillId="6" borderId="0" xfId="0" applyNumberFormat="1" applyFont="1" applyFill="1" applyBorder="1" applyAlignment="1">
      <alignment horizontal="left"/>
    </xf>
    <xf numFmtId="2" fontId="1" fillId="6" borderId="12" xfId="0" applyNumberFormat="1" applyFont="1" applyFill="1" applyBorder="1" applyAlignment="1">
      <alignment horizontal="left"/>
    </xf>
    <xf numFmtId="2" fontId="1" fillId="6" borderId="3" xfId="0" applyNumberFormat="1" applyFont="1" applyFill="1" applyBorder="1" applyAlignment="1">
      <alignment horizontal="left"/>
    </xf>
    <xf numFmtId="165" fontId="1" fillId="6" borderId="12" xfId="0" applyNumberFormat="1" applyFont="1" applyFill="1" applyBorder="1" applyAlignment="1">
      <alignment horizontal="left"/>
    </xf>
    <xf numFmtId="0" fontId="0" fillId="8" borderId="8" xfId="0" applyFont="1" applyFill="1" applyBorder="1" applyAlignment="1">
      <alignment horizontal="left"/>
    </xf>
    <xf numFmtId="0" fontId="0" fillId="8" borderId="0" xfId="0" applyFont="1" applyFill="1" applyBorder="1" applyAlignment="1">
      <alignment horizontal="left"/>
    </xf>
    <xf numFmtId="165" fontId="1" fillId="8" borderId="9" xfId="0" applyNumberFormat="1" applyFont="1" applyFill="1" applyBorder="1" applyAlignment="1">
      <alignment horizontal="left"/>
    </xf>
    <xf numFmtId="0" fontId="0" fillId="8" borderId="9" xfId="0" applyFont="1" applyFill="1" applyBorder="1" applyAlignment="1">
      <alignment horizontal="left"/>
    </xf>
    <xf numFmtId="3" fontId="0" fillId="8" borderId="0" xfId="0" applyNumberFormat="1" applyFont="1" applyFill="1" applyBorder="1" applyAlignment="1">
      <alignment horizontal="left"/>
    </xf>
    <xf numFmtId="2" fontId="1" fillId="8" borderId="2" xfId="0" applyNumberFormat="1" applyFont="1" applyFill="1" applyBorder="1" applyAlignment="1">
      <alignment horizontal="left"/>
    </xf>
    <xf numFmtId="164" fontId="1" fillId="8" borderId="12" xfId="0" applyNumberFormat="1" applyFont="1" applyFill="1" applyBorder="1" applyAlignment="1">
      <alignment horizontal="left"/>
    </xf>
    <xf numFmtId="4" fontId="1" fillId="9" borderId="9" xfId="0" applyNumberFormat="1" applyFont="1" applyFill="1" applyBorder="1" applyAlignment="1">
      <alignment horizontal="left"/>
    </xf>
    <xf numFmtId="166" fontId="1" fillId="9" borderId="12" xfId="0" applyNumberFormat="1" applyFont="1" applyFill="1" applyBorder="1" applyAlignment="1">
      <alignment horizontal="left"/>
    </xf>
    <xf numFmtId="165" fontId="0" fillId="8" borderId="0" xfId="0" applyNumberFormat="1" applyFont="1" applyFill="1" applyBorder="1" applyAlignment="1">
      <alignment horizontal="left"/>
    </xf>
    <xf numFmtId="2" fontId="0" fillId="8" borderId="0" xfId="0" applyNumberFormat="1" applyFont="1" applyFill="1" applyBorder="1" applyAlignment="1">
      <alignment horizontal="left"/>
    </xf>
    <xf numFmtId="2" fontId="1" fillId="8" borderId="0" xfId="0" applyNumberFormat="1" applyFont="1" applyFill="1" applyBorder="1" applyAlignment="1">
      <alignment horizontal="left"/>
    </xf>
    <xf numFmtId="2" fontId="1" fillId="8" borderId="12" xfId="0" applyNumberFormat="1" applyFont="1" applyFill="1" applyBorder="1" applyAlignment="1">
      <alignment horizontal="left"/>
    </xf>
    <xf numFmtId="2" fontId="1" fillId="8" borderId="3" xfId="0" applyNumberFormat="1" applyFont="1" applyFill="1" applyBorder="1" applyAlignment="1">
      <alignment horizontal="left"/>
    </xf>
    <xf numFmtId="165" fontId="1" fillId="8" borderId="12" xfId="0" applyNumberFormat="1" applyFont="1" applyFill="1" applyBorder="1" applyAlignment="1">
      <alignment horizontal="left"/>
    </xf>
    <xf numFmtId="0" fontId="0" fillId="10" borderId="8" xfId="0" applyFont="1" applyFill="1" applyBorder="1" applyAlignment="1">
      <alignment horizontal="left"/>
    </xf>
    <xf numFmtId="0" fontId="0" fillId="10" borderId="0" xfId="0" applyFont="1" applyFill="1" applyBorder="1" applyAlignment="1">
      <alignment horizontal="left"/>
    </xf>
    <xf numFmtId="165" fontId="1" fillId="10" borderId="9" xfId="0" applyNumberFormat="1" applyFont="1" applyFill="1" applyBorder="1" applyAlignment="1">
      <alignment horizontal="left"/>
    </xf>
    <xf numFmtId="0" fontId="0" fillId="10" borderId="9" xfId="0" applyFont="1" applyFill="1" applyBorder="1" applyAlignment="1">
      <alignment horizontal="left"/>
    </xf>
    <xf numFmtId="3" fontId="0" fillId="10" borderId="0" xfId="0" applyNumberFormat="1" applyFont="1" applyFill="1" applyBorder="1" applyAlignment="1">
      <alignment horizontal="left"/>
    </xf>
    <xf numFmtId="2" fontId="1" fillId="10" borderId="2" xfId="0" applyNumberFormat="1" applyFont="1" applyFill="1" applyBorder="1" applyAlignment="1">
      <alignment horizontal="left"/>
    </xf>
    <xf numFmtId="164" fontId="1" fillId="10" borderId="12" xfId="0" applyNumberFormat="1" applyFont="1" applyFill="1" applyBorder="1" applyAlignment="1">
      <alignment horizontal="left"/>
    </xf>
    <xf numFmtId="4" fontId="1" fillId="11" borderId="9" xfId="0" applyNumberFormat="1" applyFont="1" applyFill="1" applyBorder="1" applyAlignment="1">
      <alignment horizontal="left"/>
    </xf>
    <xf numFmtId="166" fontId="1" fillId="11" borderId="12" xfId="0" applyNumberFormat="1" applyFont="1" applyFill="1" applyBorder="1" applyAlignment="1">
      <alignment horizontal="left"/>
    </xf>
    <xf numFmtId="165" fontId="0" fillId="10" borderId="0" xfId="0" applyNumberFormat="1" applyFont="1" applyFill="1" applyBorder="1" applyAlignment="1">
      <alignment horizontal="left"/>
    </xf>
    <xf numFmtId="2" fontId="0" fillId="10" borderId="0" xfId="0" applyNumberFormat="1" applyFont="1" applyFill="1" applyBorder="1" applyAlignment="1">
      <alignment horizontal="left"/>
    </xf>
    <xf numFmtId="2" fontId="1" fillId="10" borderId="0" xfId="0" applyNumberFormat="1" applyFont="1" applyFill="1" applyBorder="1" applyAlignment="1">
      <alignment horizontal="left"/>
    </xf>
    <xf numFmtId="2" fontId="1" fillId="10" borderId="12" xfId="0" applyNumberFormat="1" applyFont="1" applyFill="1" applyBorder="1" applyAlignment="1">
      <alignment horizontal="left"/>
    </xf>
    <xf numFmtId="2" fontId="1" fillId="10" borderId="3" xfId="0" applyNumberFormat="1" applyFont="1" applyFill="1" applyBorder="1" applyAlignment="1">
      <alignment horizontal="left"/>
    </xf>
    <xf numFmtId="165" fontId="1" fillId="10" borderId="12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165" fontId="1" fillId="0" borderId="0" xfId="0" applyNumberFormat="1" applyFont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/>
    </xf>
    <xf numFmtId="0" fontId="1" fillId="2" borderId="6" xfId="0" applyFont="1" applyFill="1" applyBorder="1" applyAlignment="1">
      <alignment horizontal="left" wrapText="1"/>
    </xf>
    <xf numFmtId="2" fontId="1" fillId="2" borderId="0" xfId="0" applyNumberFormat="1" applyFont="1" applyFill="1" applyBorder="1" applyAlignment="1">
      <alignment horizontal="left"/>
    </xf>
    <xf numFmtId="2" fontId="1" fillId="6" borderId="0" xfId="0" applyNumberFormat="1" applyFont="1" applyFill="1" applyBorder="1" applyAlignment="1">
      <alignment horizontal="left"/>
    </xf>
    <xf numFmtId="2" fontId="1" fillId="8" borderId="0" xfId="0" applyNumberFormat="1" applyFont="1" applyFill="1" applyBorder="1" applyAlignment="1">
      <alignment horizontal="left"/>
    </xf>
    <xf numFmtId="2" fontId="1" fillId="10" borderId="0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V mag error for 12" F/6.3 SCT, 1200 sec,
V sky = 20.5, V star = 19.0, 2.0 arcsec seeing,
RN = 15e-, Dark(ABG) = 0.5*Dark(non-ABG),
KAF-0400-ABG (red) versus KAF-0400 (blue).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808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SIGNOISE!#REF!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SIGNOISE!#REF!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SIGNOISE!#REF!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SIGNOISE!#REF!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1070190"/>
        <c:axId val="9631711"/>
      </c:scatterChart>
      <c:valAx>
        <c:axId val="1070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CCD 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31711"/>
        <c:crosses val="autoZero"/>
        <c:crossBetween val="midCat"/>
        <c:dispUnits/>
      </c:valAx>
      <c:valAx>
        <c:axId val="9631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V Mag Error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1070190"/>
        <c:crossesAt val="-50"/>
        <c:crossBetween val="midCat"/>
        <c:dispUnits/>
        <c:minorUnit val="0.004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Limiting V Magnitide versus Exposure Time for 24" at -40C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SIGNOISE!#REF!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SIGNOISE!#REF!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19576536"/>
        <c:axId val="41971097"/>
      </c:scatterChart>
      <c:valAx>
        <c:axId val="19576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Exposure 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41971097"/>
        <c:crosses val="autoZero"/>
        <c:crossBetween val="midCat"/>
        <c:dispUnits/>
        <c:majorUnit val="300"/>
        <c:minorUnit val="60"/>
      </c:valAx>
      <c:valAx>
        <c:axId val="41971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Limiting V Magnitude (S/N=3)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in"/>
        <c:tickLblPos val="nextTo"/>
        <c:crossAx val="19576536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SIGNOISE!#REF!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SIGNOISE!#REF!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42195554"/>
        <c:axId val="44215667"/>
      </c:scatterChart>
      <c:valAx>
        <c:axId val="42195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Exposure 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215667"/>
        <c:crosses val="autoZero"/>
        <c:crossBetween val="midCat"/>
        <c:dispUnits/>
      </c:valAx>
      <c:valAx>
        <c:axId val="442156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Limiting V Magnitude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195554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95</xdr:row>
      <xdr:rowOff>114300</xdr:rowOff>
    </xdr:from>
    <xdr:to>
      <xdr:col>33</xdr:col>
      <xdr:colOff>0</xdr:colOff>
      <xdr:row>117</xdr:row>
      <xdr:rowOff>28575</xdr:rowOff>
    </xdr:to>
    <xdr:graphicFrame>
      <xdr:nvGraphicFramePr>
        <xdr:cNvPr id="1" name="Chart 1"/>
        <xdr:cNvGraphicFramePr/>
      </xdr:nvGraphicFramePr>
      <xdr:xfrm>
        <a:off x="21917025" y="17049750"/>
        <a:ext cx="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52</xdr:row>
      <xdr:rowOff>0</xdr:rowOff>
    </xdr:to>
    <xdr:graphicFrame>
      <xdr:nvGraphicFramePr>
        <xdr:cNvPr id="2" name="Chart 4"/>
        <xdr:cNvGraphicFramePr/>
      </xdr:nvGraphicFramePr>
      <xdr:xfrm>
        <a:off x="21917025" y="3133725"/>
        <a:ext cx="0" cy="683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0</xdr:colOff>
      <xdr:row>49</xdr:row>
      <xdr:rowOff>38100</xdr:rowOff>
    </xdr:from>
    <xdr:to>
      <xdr:col>33</xdr:col>
      <xdr:colOff>0</xdr:colOff>
      <xdr:row>66</xdr:row>
      <xdr:rowOff>95250</xdr:rowOff>
    </xdr:to>
    <xdr:graphicFrame>
      <xdr:nvGraphicFramePr>
        <xdr:cNvPr id="3" name="Chart 5"/>
        <xdr:cNvGraphicFramePr/>
      </xdr:nvGraphicFramePr>
      <xdr:xfrm>
        <a:off x="21917025" y="9525000"/>
        <a:ext cx="0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90"/>
  <sheetViews>
    <sheetView showGridLines="0" tabSelected="1" defaultGridColor="0" colorId="8" workbookViewId="0" topLeftCell="H16">
      <selection activeCell="AA16" sqref="AA16"/>
    </sheetView>
  </sheetViews>
  <sheetFormatPr defaultColWidth="11.421875" defaultRowHeight="12.75"/>
  <cols>
    <col min="1" max="1" width="18.421875" style="5" customWidth="1"/>
    <col min="2" max="2" width="7.57421875" style="1" customWidth="1"/>
    <col min="3" max="3" width="6.57421875" style="1" customWidth="1"/>
    <col min="4" max="4" width="8.57421875" style="1" customWidth="1"/>
    <col min="5" max="5" width="10.7109375" style="1" customWidth="1"/>
    <col min="6" max="6" width="10.57421875" style="1" customWidth="1"/>
    <col min="7" max="7" width="9.57421875" style="1" customWidth="1"/>
    <col min="8" max="8" width="12.00390625" style="1" customWidth="1"/>
    <col min="9" max="9" width="9.00390625" style="1" customWidth="1"/>
    <col min="10" max="10" width="7.7109375" style="17" customWidth="1"/>
    <col min="11" max="11" width="7.57421875" style="1" customWidth="1"/>
    <col min="12" max="12" width="12.8515625" style="18" customWidth="1"/>
    <col min="13" max="13" width="7.7109375" style="1" customWidth="1"/>
    <col min="14" max="14" width="8.28125" style="1" customWidth="1"/>
    <col min="15" max="15" width="8.7109375" style="1" customWidth="1"/>
    <col min="16" max="16" width="8.28125" style="1" customWidth="1"/>
    <col min="17" max="17" width="8.140625" style="1" customWidth="1"/>
    <col min="18" max="18" width="10.57421875" style="3" customWidth="1"/>
    <col min="19" max="19" width="11.28125" style="2" bestFit="1" customWidth="1"/>
    <col min="20" max="20" width="10.8515625" style="1" customWidth="1"/>
    <col min="21" max="21" width="11.28125" style="1" customWidth="1"/>
    <col min="22" max="22" width="9.421875" style="6" customWidth="1"/>
    <col min="23" max="23" width="9.8515625" style="6" customWidth="1"/>
    <col min="24" max="24" width="9.00390625" style="1" customWidth="1"/>
    <col min="25" max="25" width="9.8515625" style="3" customWidth="1"/>
    <col min="26" max="26" width="11.140625" style="1" customWidth="1"/>
    <col min="27" max="27" width="13.7109375" style="1" customWidth="1"/>
    <col min="28" max="28" width="11.140625" style="1" customWidth="1"/>
    <col min="29" max="29" width="10.8515625" style="1" customWidth="1"/>
    <col min="30" max="30" width="10.28125" style="1" customWidth="1"/>
    <col min="31" max="31" width="9.421875" style="4" customWidth="1"/>
    <col min="32" max="32" width="8.57421875" style="21" customWidth="1"/>
    <col min="33" max="33" width="9.140625" style="2" customWidth="1"/>
    <col min="34" max="65" width="8.7109375" style="0" customWidth="1"/>
    <col min="66" max="16384" width="9.140625" style="1" customWidth="1"/>
  </cols>
  <sheetData>
    <row r="1" spans="1:65" s="7" customFormat="1" ht="31.5" customHeight="1">
      <c r="A1" s="9" t="s">
        <v>89</v>
      </c>
      <c r="B1" s="9"/>
      <c r="C1" s="9"/>
      <c r="D1" s="9"/>
      <c r="E1" s="9"/>
      <c r="F1" s="9"/>
      <c r="G1" s="9"/>
      <c r="H1" s="9"/>
      <c r="I1" s="9"/>
      <c r="J1" s="10"/>
      <c r="K1" s="9"/>
      <c r="L1" s="10"/>
      <c r="M1" s="9"/>
      <c r="N1" s="9"/>
      <c r="O1" s="9"/>
      <c r="P1" s="9"/>
      <c r="Q1" s="9"/>
      <c r="R1" s="11"/>
      <c r="S1" s="9"/>
      <c r="T1" s="9"/>
      <c r="U1" s="9"/>
      <c r="V1" s="12"/>
      <c r="W1" s="12"/>
      <c r="X1" s="9"/>
      <c r="Y1" s="11"/>
      <c r="Z1" s="9"/>
      <c r="AA1" s="9"/>
      <c r="AB1" s="9"/>
      <c r="AC1" s="9"/>
      <c r="AD1" s="9"/>
      <c r="AE1" s="12"/>
      <c r="AF1" s="19"/>
      <c r="AG1" s="9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1:65" s="8" customFormat="1" ht="33" customHeight="1">
      <c r="A2" s="22" t="s">
        <v>76</v>
      </c>
      <c r="B2" s="13"/>
      <c r="C2" s="13"/>
      <c r="D2" s="13"/>
      <c r="E2" s="13"/>
      <c r="F2" s="13"/>
      <c r="G2" s="13"/>
      <c r="H2" s="13"/>
      <c r="I2" s="13"/>
      <c r="J2" s="14"/>
      <c r="K2" s="13"/>
      <c r="L2" s="14"/>
      <c r="M2" s="13"/>
      <c r="N2" s="13"/>
      <c r="O2" s="13"/>
      <c r="P2" s="13"/>
      <c r="Q2" s="13"/>
      <c r="R2" s="15"/>
      <c r="S2" s="13"/>
      <c r="T2" s="13"/>
      <c r="U2" s="13"/>
      <c r="V2" s="16"/>
      <c r="W2" s="16"/>
      <c r="X2" s="13"/>
      <c r="Y2" s="15"/>
      <c r="Z2" s="13"/>
      <c r="AA2" s="13"/>
      <c r="AB2" s="13"/>
      <c r="AC2" s="13"/>
      <c r="AD2" s="13"/>
      <c r="AE2" s="16"/>
      <c r="AF2" s="20"/>
      <c r="AG2" s="13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5" s="26" customFormat="1" ht="20.25" customHeight="1">
      <c r="A3" s="23" t="s">
        <v>3</v>
      </c>
      <c r="B3" s="23"/>
      <c r="C3" s="23"/>
      <c r="D3" s="23"/>
      <c r="E3" s="23"/>
      <c r="F3" s="23"/>
      <c r="G3" s="23"/>
      <c r="H3" s="23"/>
      <c r="I3" s="23"/>
      <c r="J3" s="22"/>
      <c r="K3" s="23"/>
      <c r="L3" s="22"/>
      <c r="M3" s="23"/>
      <c r="N3" s="23"/>
      <c r="O3" s="23"/>
      <c r="P3" s="23"/>
      <c r="Q3" s="23"/>
      <c r="R3" s="23"/>
      <c r="S3" s="23"/>
      <c r="T3" s="23"/>
      <c r="U3" s="23"/>
      <c r="V3" s="22"/>
      <c r="W3" s="22"/>
      <c r="X3" s="23"/>
      <c r="Y3" s="24"/>
      <c r="Z3" s="23"/>
      <c r="AA3" s="23"/>
      <c r="AB3" s="23"/>
      <c r="AC3" s="23"/>
      <c r="AD3" s="23"/>
      <c r="AE3" s="23"/>
      <c r="AF3" s="25"/>
      <c r="AG3" s="2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</row>
    <row r="4" spans="1:65" s="26" customFormat="1" ht="12.75">
      <c r="A4" s="23" t="s">
        <v>86</v>
      </c>
      <c r="B4" s="23"/>
      <c r="C4" s="23"/>
      <c r="D4" s="23"/>
      <c r="E4" s="23"/>
      <c r="F4" s="23"/>
      <c r="G4" s="23"/>
      <c r="H4" s="23"/>
      <c r="I4" s="23"/>
      <c r="J4" s="22"/>
      <c r="K4" s="23"/>
      <c r="L4" s="22"/>
      <c r="M4" s="23"/>
      <c r="N4" s="23"/>
      <c r="O4" s="23"/>
      <c r="P4" s="23"/>
      <c r="Q4" s="23"/>
      <c r="R4" s="23"/>
      <c r="S4" s="23"/>
      <c r="T4" s="23"/>
      <c r="U4" s="23"/>
      <c r="V4" s="22"/>
      <c r="W4" s="22"/>
      <c r="X4" s="23"/>
      <c r="Y4" s="24"/>
      <c r="Z4" s="23"/>
      <c r="AA4" s="23"/>
      <c r="AB4" s="23"/>
      <c r="AC4" s="23"/>
      <c r="AD4" s="23"/>
      <c r="AE4" s="23"/>
      <c r="AF4" s="25"/>
      <c r="AG4" s="23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</row>
    <row r="5" spans="1:65" s="26" customFormat="1" ht="12.75">
      <c r="A5" s="23" t="s">
        <v>87</v>
      </c>
      <c r="B5" s="23"/>
      <c r="C5" s="23"/>
      <c r="D5" s="23"/>
      <c r="E5" s="23"/>
      <c r="F5" s="23"/>
      <c r="G5" s="23"/>
      <c r="H5" s="23"/>
      <c r="I5" s="23"/>
      <c r="J5" s="22"/>
      <c r="K5" s="23"/>
      <c r="L5" s="22"/>
      <c r="M5" s="23"/>
      <c r="N5" s="23"/>
      <c r="O5" s="23"/>
      <c r="P5" s="23"/>
      <c r="Q5" s="23"/>
      <c r="R5" s="23"/>
      <c r="S5" s="23"/>
      <c r="T5" s="23"/>
      <c r="U5" s="23"/>
      <c r="V5" s="22"/>
      <c r="W5" s="22"/>
      <c r="X5" s="23"/>
      <c r="Y5" s="24"/>
      <c r="Z5" s="23"/>
      <c r="AA5" s="23"/>
      <c r="AB5" s="23"/>
      <c r="AC5" s="23"/>
      <c r="AD5" s="23"/>
      <c r="AE5" s="23"/>
      <c r="AF5" s="25"/>
      <c r="AG5" s="23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</row>
    <row r="6" spans="1:65" s="26" customFormat="1" ht="12.75">
      <c r="A6" s="23" t="s">
        <v>4</v>
      </c>
      <c r="B6" s="23"/>
      <c r="C6" s="23"/>
      <c r="D6" s="23"/>
      <c r="E6" s="23"/>
      <c r="F6" s="23"/>
      <c r="G6" s="23"/>
      <c r="H6" s="23"/>
      <c r="I6" s="23"/>
      <c r="J6" s="22"/>
      <c r="K6" s="23"/>
      <c r="L6" s="22"/>
      <c r="M6" s="23"/>
      <c r="N6" s="23"/>
      <c r="O6" s="23"/>
      <c r="P6" s="23"/>
      <c r="Q6" s="23"/>
      <c r="R6" s="23"/>
      <c r="S6" s="23"/>
      <c r="T6" s="23"/>
      <c r="U6" s="23"/>
      <c r="V6" s="22"/>
      <c r="W6" s="22"/>
      <c r="X6" s="23"/>
      <c r="Y6" s="24"/>
      <c r="Z6" s="23"/>
      <c r="AA6" s="23"/>
      <c r="AB6" s="23"/>
      <c r="AC6" s="23"/>
      <c r="AD6" s="23"/>
      <c r="AE6" s="23"/>
      <c r="AF6" s="25"/>
      <c r="AG6" s="23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</row>
    <row r="7" spans="1:65" s="26" customFormat="1" ht="12.75">
      <c r="A7" s="23" t="s">
        <v>5</v>
      </c>
      <c r="B7" s="23"/>
      <c r="C7" s="23"/>
      <c r="D7" s="23"/>
      <c r="E7" s="23"/>
      <c r="F7" s="23"/>
      <c r="G7" s="23"/>
      <c r="H7" s="23"/>
      <c r="I7" s="23"/>
      <c r="J7" s="22"/>
      <c r="K7" s="23"/>
      <c r="L7" s="22"/>
      <c r="M7" s="23"/>
      <c r="N7" s="23"/>
      <c r="O7" s="23"/>
      <c r="P7" s="23"/>
      <c r="Q7" s="23"/>
      <c r="R7" s="23"/>
      <c r="S7" s="23"/>
      <c r="T7" s="23"/>
      <c r="U7" s="23"/>
      <c r="V7" s="22"/>
      <c r="W7" s="22"/>
      <c r="X7" s="23"/>
      <c r="Y7" s="24"/>
      <c r="Z7" s="23"/>
      <c r="AA7" s="23"/>
      <c r="AB7" s="23"/>
      <c r="AC7" s="23"/>
      <c r="AD7" s="23"/>
      <c r="AE7" s="23"/>
      <c r="AF7" s="25"/>
      <c r="AG7" s="23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</row>
    <row r="8" spans="1:65" s="26" customFormat="1" ht="12.75">
      <c r="A8" s="23" t="s">
        <v>0</v>
      </c>
      <c r="B8" s="23"/>
      <c r="C8" s="23"/>
      <c r="D8" s="23"/>
      <c r="E8" s="23"/>
      <c r="F8" s="23"/>
      <c r="G8" s="23"/>
      <c r="H8" s="23"/>
      <c r="I8" s="23"/>
      <c r="J8" s="22"/>
      <c r="K8" s="23"/>
      <c r="L8" s="22"/>
      <c r="M8" s="23"/>
      <c r="N8" s="23"/>
      <c r="O8" s="23"/>
      <c r="P8" s="23"/>
      <c r="Q8" s="23"/>
      <c r="R8" s="23"/>
      <c r="S8" s="23"/>
      <c r="T8" s="23"/>
      <c r="U8" s="23"/>
      <c r="V8" s="22"/>
      <c r="W8" s="22"/>
      <c r="X8" s="23"/>
      <c r="Y8" s="24"/>
      <c r="Z8" s="23"/>
      <c r="AA8" s="23"/>
      <c r="AB8" s="23"/>
      <c r="AC8" s="23"/>
      <c r="AD8" s="23"/>
      <c r="AE8" s="23"/>
      <c r="AF8" s="25"/>
      <c r="AG8" s="23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</row>
    <row r="9" spans="1:65" s="26" customFormat="1" ht="12.75">
      <c r="A9" s="23" t="s">
        <v>88</v>
      </c>
      <c r="B9" s="23"/>
      <c r="C9" s="23"/>
      <c r="D9" s="23"/>
      <c r="E9" s="23"/>
      <c r="F9" s="23"/>
      <c r="G9" s="23"/>
      <c r="H9" s="23"/>
      <c r="I9" s="23"/>
      <c r="J9" s="22"/>
      <c r="K9" s="23"/>
      <c r="L9" s="22"/>
      <c r="M9" s="23"/>
      <c r="N9" s="23"/>
      <c r="O9" s="23"/>
      <c r="P9" s="23"/>
      <c r="Q9" s="23"/>
      <c r="R9" s="23"/>
      <c r="S9" s="23"/>
      <c r="T9" s="23"/>
      <c r="U9" s="23"/>
      <c r="V9" s="22"/>
      <c r="W9" s="22"/>
      <c r="X9" s="23"/>
      <c r="Y9" s="24"/>
      <c r="Z9" s="23"/>
      <c r="AA9" s="23"/>
      <c r="AB9" s="23"/>
      <c r="AC9" s="23"/>
      <c r="AD9" s="23"/>
      <c r="AE9" s="23"/>
      <c r="AF9" s="25"/>
      <c r="AG9" s="23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</row>
    <row r="10" spans="1:33" s="156" customFormat="1" ht="24" customHeight="1">
      <c r="A10" s="152" t="s">
        <v>6</v>
      </c>
      <c r="B10" s="152"/>
      <c r="C10" s="152"/>
      <c r="D10" s="152"/>
      <c r="E10" s="152"/>
      <c r="F10" s="152"/>
      <c r="G10" s="152"/>
      <c r="H10" s="152"/>
      <c r="I10" s="152"/>
      <c r="J10" s="153"/>
      <c r="K10" s="152"/>
      <c r="L10" s="153"/>
      <c r="M10" s="152"/>
      <c r="N10" s="152"/>
      <c r="O10" s="152"/>
      <c r="P10" s="152"/>
      <c r="Q10" s="152"/>
      <c r="R10" s="152"/>
      <c r="S10" s="152"/>
      <c r="T10" s="152"/>
      <c r="U10" s="152"/>
      <c r="V10" s="153"/>
      <c r="W10" s="153"/>
      <c r="X10" s="152"/>
      <c r="Y10" s="154"/>
      <c r="Z10" s="152"/>
      <c r="AA10" s="152"/>
      <c r="AB10" s="152"/>
      <c r="AC10" s="152"/>
      <c r="AD10" s="152"/>
      <c r="AE10" s="152"/>
      <c r="AF10" s="155"/>
      <c r="AG10" s="152"/>
    </row>
    <row r="11" spans="2:65" s="26" customFormat="1" ht="13.5" thickBot="1">
      <c r="B11" s="27"/>
      <c r="C11" s="27"/>
      <c r="D11" s="27"/>
      <c r="E11" s="27"/>
      <c r="F11" s="27"/>
      <c r="G11" s="27"/>
      <c r="H11" s="27"/>
      <c r="I11" s="27"/>
      <c r="J11" s="28"/>
      <c r="K11" s="27"/>
      <c r="L11" s="28"/>
      <c r="M11" s="27"/>
      <c r="N11" s="27"/>
      <c r="O11" s="27"/>
      <c r="P11" s="27"/>
      <c r="Q11" s="27"/>
      <c r="R11" s="27"/>
      <c r="S11" s="27"/>
      <c r="T11" s="27"/>
      <c r="U11" s="27"/>
      <c r="V11" s="28"/>
      <c r="W11" s="28"/>
      <c r="X11" s="27"/>
      <c r="Y11" s="29"/>
      <c r="Z11" s="27"/>
      <c r="AA11" s="27"/>
      <c r="AB11" s="27"/>
      <c r="AC11" s="27"/>
      <c r="AD11" s="27"/>
      <c r="AE11" s="27"/>
      <c r="AF11" s="30"/>
      <c r="AG11" s="27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</row>
    <row r="12" spans="1:65" s="64" customFormat="1" ht="24.75" customHeight="1">
      <c r="A12" s="68" t="s">
        <v>7</v>
      </c>
      <c r="B12" s="69" t="s">
        <v>8</v>
      </c>
      <c r="C12" s="69" t="s">
        <v>8</v>
      </c>
      <c r="D12" s="69" t="s">
        <v>9</v>
      </c>
      <c r="E12" s="69"/>
      <c r="F12" s="69"/>
      <c r="G12" s="69"/>
      <c r="H12" s="69"/>
      <c r="I12" s="69"/>
      <c r="J12" s="70" t="s">
        <v>8</v>
      </c>
      <c r="K12" s="69"/>
      <c r="L12" s="71"/>
      <c r="M12" s="72"/>
      <c r="N12" s="72"/>
      <c r="O12" s="73"/>
      <c r="P12" s="72" t="s">
        <v>10</v>
      </c>
      <c r="Q12" s="73"/>
      <c r="R12" s="74"/>
      <c r="S12" s="75"/>
      <c r="T12" s="72" t="s">
        <v>77</v>
      </c>
      <c r="U12" s="72"/>
      <c r="V12" s="76"/>
      <c r="W12" s="76"/>
      <c r="X12" s="75"/>
      <c r="Y12" s="77"/>
      <c r="Z12" s="69"/>
      <c r="AA12" s="69"/>
      <c r="AB12" s="69"/>
      <c r="AC12" s="69" t="s">
        <v>11</v>
      </c>
      <c r="AD12" s="78"/>
      <c r="AE12" s="79"/>
      <c r="AF12" s="80" t="s">
        <v>12</v>
      </c>
      <c r="AG12" s="7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</row>
    <row r="13" spans="1:65" s="67" customFormat="1" ht="39">
      <c r="A13" s="81"/>
      <c r="B13" s="82" t="s">
        <v>13</v>
      </c>
      <c r="C13" s="82" t="s">
        <v>14</v>
      </c>
      <c r="D13" s="82" t="s">
        <v>15</v>
      </c>
      <c r="E13" s="82" t="s">
        <v>16</v>
      </c>
      <c r="F13" s="82" t="s">
        <v>17</v>
      </c>
      <c r="G13" s="82" t="s">
        <v>79</v>
      </c>
      <c r="H13" s="83" t="s">
        <v>18</v>
      </c>
      <c r="I13" s="83" t="s">
        <v>19</v>
      </c>
      <c r="J13" s="84" t="s">
        <v>20</v>
      </c>
      <c r="K13" s="82" t="s">
        <v>21</v>
      </c>
      <c r="L13" s="85" t="s">
        <v>80</v>
      </c>
      <c r="M13" s="82" t="s">
        <v>78</v>
      </c>
      <c r="N13" s="82" t="s">
        <v>22</v>
      </c>
      <c r="O13" s="86" t="s">
        <v>23</v>
      </c>
      <c r="P13" s="86" t="s">
        <v>24</v>
      </c>
      <c r="Q13" s="86" t="s">
        <v>25</v>
      </c>
      <c r="R13" s="87" t="s">
        <v>26</v>
      </c>
      <c r="S13" s="88" t="s">
        <v>27</v>
      </c>
      <c r="T13" s="82" t="s">
        <v>28</v>
      </c>
      <c r="U13" s="89" t="s">
        <v>29</v>
      </c>
      <c r="V13" s="90" t="s">
        <v>30</v>
      </c>
      <c r="W13" s="91" t="s">
        <v>31</v>
      </c>
      <c r="X13" s="92" t="s">
        <v>32</v>
      </c>
      <c r="Y13" s="93" t="s">
        <v>33</v>
      </c>
      <c r="Z13" s="82" t="s">
        <v>34</v>
      </c>
      <c r="AA13" s="82" t="s">
        <v>90</v>
      </c>
      <c r="AB13" s="82" t="s">
        <v>2</v>
      </c>
      <c r="AC13" s="82" t="s">
        <v>35</v>
      </c>
      <c r="AD13" s="82" t="s">
        <v>35</v>
      </c>
      <c r="AE13" s="94" t="s">
        <v>36</v>
      </c>
      <c r="AF13" s="95" t="s">
        <v>37</v>
      </c>
      <c r="AG13" s="96" t="s">
        <v>38</v>
      </c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</row>
    <row r="14" spans="1:65" s="31" customFormat="1" ht="30.75" customHeight="1">
      <c r="A14" s="97" t="s">
        <v>39</v>
      </c>
      <c r="B14" s="86" t="s">
        <v>40</v>
      </c>
      <c r="C14" s="86" t="s">
        <v>41</v>
      </c>
      <c r="D14" s="86" t="s">
        <v>42</v>
      </c>
      <c r="E14" s="86" t="s">
        <v>43</v>
      </c>
      <c r="F14" s="86" t="s">
        <v>44</v>
      </c>
      <c r="G14" s="86" t="s">
        <v>44</v>
      </c>
      <c r="H14" s="98" t="s">
        <v>45</v>
      </c>
      <c r="I14" s="98" t="s">
        <v>46</v>
      </c>
      <c r="J14" s="99"/>
      <c r="K14" s="86" t="s">
        <v>47</v>
      </c>
      <c r="L14" s="101" t="s">
        <v>48</v>
      </c>
      <c r="M14" s="86" t="s">
        <v>49</v>
      </c>
      <c r="N14" s="86" t="s">
        <v>49</v>
      </c>
      <c r="O14" s="86" t="s">
        <v>49</v>
      </c>
      <c r="P14" s="86" t="s">
        <v>50</v>
      </c>
      <c r="Q14" s="86" t="s">
        <v>41</v>
      </c>
      <c r="R14" s="102" t="s">
        <v>51</v>
      </c>
      <c r="S14" s="88" t="s">
        <v>52</v>
      </c>
      <c r="T14" s="86" t="s">
        <v>53</v>
      </c>
      <c r="U14" s="103" t="s">
        <v>54</v>
      </c>
      <c r="V14" s="91" t="s">
        <v>54</v>
      </c>
      <c r="W14" s="91"/>
      <c r="X14" s="104"/>
      <c r="Y14" s="100" t="s">
        <v>55</v>
      </c>
      <c r="Z14" s="86" t="s">
        <v>56</v>
      </c>
      <c r="AA14" s="86" t="s">
        <v>91</v>
      </c>
      <c r="AB14" s="86" t="s">
        <v>1</v>
      </c>
      <c r="AC14" s="86" t="s">
        <v>81</v>
      </c>
      <c r="AD14" s="86" t="s">
        <v>57</v>
      </c>
      <c r="AE14" s="105" t="s">
        <v>82</v>
      </c>
      <c r="AF14" s="106" t="s">
        <v>8</v>
      </c>
      <c r="AG14" s="88" t="s">
        <v>58</v>
      </c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</row>
    <row r="15" spans="1:65" s="37" customFormat="1" ht="20.25" customHeight="1" thickBot="1">
      <c r="A15" s="32"/>
      <c r="B15" s="33"/>
      <c r="C15" s="33"/>
      <c r="D15" s="33"/>
      <c r="E15" s="33"/>
      <c r="F15" s="33"/>
      <c r="G15" s="33"/>
      <c r="H15" s="63" t="s">
        <v>59</v>
      </c>
      <c r="I15" s="34"/>
      <c r="J15" s="35"/>
      <c r="K15" s="33"/>
      <c r="L15" s="45" t="s">
        <v>59</v>
      </c>
      <c r="M15" s="33"/>
      <c r="N15" s="33"/>
      <c r="O15" s="33"/>
      <c r="P15" s="33"/>
      <c r="Q15" s="33"/>
      <c r="R15" s="47" t="s">
        <v>59</v>
      </c>
      <c r="S15" s="48" t="s">
        <v>59</v>
      </c>
      <c r="T15" s="33"/>
      <c r="U15" s="51" t="s">
        <v>59</v>
      </c>
      <c r="V15" s="52" t="s">
        <v>59</v>
      </c>
      <c r="W15" s="52" t="s">
        <v>59</v>
      </c>
      <c r="X15" s="53" t="s">
        <v>59</v>
      </c>
      <c r="Y15" s="36"/>
      <c r="Z15" s="33"/>
      <c r="AA15" s="33"/>
      <c r="AB15" s="157" t="s">
        <v>59</v>
      </c>
      <c r="AC15" s="56" t="s">
        <v>59</v>
      </c>
      <c r="AD15" s="56" t="s">
        <v>59</v>
      </c>
      <c r="AE15" s="57" t="s">
        <v>59</v>
      </c>
      <c r="AF15" s="58" t="s">
        <v>59</v>
      </c>
      <c r="AG15" s="48" t="s">
        <v>59</v>
      </c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</row>
    <row r="16" spans="1:65" s="22" customFormat="1" ht="12.75">
      <c r="A16" s="38" t="s">
        <v>60</v>
      </c>
      <c r="B16" s="39">
        <v>24</v>
      </c>
      <c r="C16" s="39">
        <v>80</v>
      </c>
      <c r="D16" s="39">
        <v>18</v>
      </c>
      <c r="E16" s="39">
        <v>80</v>
      </c>
      <c r="F16" s="39">
        <v>6</v>
      </c>
      <c r="G16" s="39">
        <v>-45</v>
      </c>
      <c r="H16" s="49">
        <f>1300*(122*(G16+273)*(G16+273)*(G16+273)*EXP(-6400/(G16+273)))</f>
        <v>1.2116729844734948</v>
      </c>
      <c r="I16" s="40">
        <v>4.3</v>
      </c>
      <c r="J16" s="41">
        <v>1</v>
      </c>
      <c r="K16" s="22">
        <v>60</v>
      </c>
      <c r="L16" s="46">
        <f aca="true" t="shared" si="0" ref="L16:L22">SQRT(K16*H16*J16*J16+D16*D16+(I16*I16-1)/12)</f>
        <v>19.95389383224261</v>
      </c>
      <c r="M16" s="39">
        <v>130</v>
      </c>
      <c r="N16" s="22">
        <v>24</v>
      </c>
      <c r="O16" s="22">
        <v>5</v>
      </c>
      <c r="P16" s="22">
        <v>800</v>
      </c>
      <c r="Q16" s="22">
        <v>80</v>
      </c>
      <c r="R16" s="49">
        <f aca="true" t="shared" si="1" ref="R16:R22">B16*J16/((25.4*M16/206265)*1000)</f>
        <v>1.499200484554815</v>
      </c>
      <c r="S16" s="50">
        <f aca="true" t="shared" si="2" ref="S16:S22">940*P16*Q16/100*C16/100*3.14159*(N16*N16-O16*O16)/4*2.54*2.54</f>
        <v>1343712512.239278</v>
      </c>
      <c r="T16" s="39">
        <v>21.5</v>
      </c>
      <c r="U16" s="54">
        <f aca="true" t="shared" si="3" ref="U16:U22">(S16*(EXP(-0.4*LN(10)*T16))*R16*R16)/I16</f>
        <v>1.7642386553043925</v>
      </c>
      <c r="V16" s="54">
        <f aca="true" t="shared" si="4" ref="V16:V22">(S16*(EXP(-0.4*LN(10)*T16))*R16*R16+(J16*J16*H16))/I16</f>
        <v>2.0460230702982285</v>
      </c>
      <c r="W16" s="54">
        <f aca="true" t="shared" si="5" ref="W16:W22">U16/V16</f>
        <v>0.8622770099299207</v>
      </c>
      <c r="X16" s="55">
        <f aca="true" t="shared" si="6" ref="X16:X22">SQRT(V16*K16*I16)</f>
        <v>22.975507657872175</v>
      </c>
      <c r="Y16" s="42">
        <v>20.54</v>
      </c>
      <c r="Z16" s="43">
        <v>3</v>
      </c>
      <c r="AA16" s="43">
        <v>3</v>
      </c>
      <c r="AB16" s="158">
        <f>AA16*Z16/R16/2</f>
        <v>3.0015998836448263</v>
      </c>
      <c r="AC16" s="59">
        <f>3.14159*(Z16*Z16/4)*(AA16*AA16)</f>
        <v>63.6171975</v>
      </c>
      <c r="AD16" s="59">
        <f aca="true" t="shared" si="7" ref="AD16:AD22">AC16/(R16*R16)</f>
        <v>28.30447511205921</v>
      </c>
      <c r="AE16" s="60">
        <f aca="true" t="shared" si="8" ref="AE16:AE22">S16*EXP(-0.4*LN(10)*Y16)/I16</f>
        <v>1.9003688612764171</v>
      </c>
      <c r="AF16" s="61">
        <f aca="true" t="shared" si="9" ref="AF16:AF22">SQRT((AE16*K16*I16)/(1+(MAX(1,AD16))*(V16*I16*K16+(I16*I16-1)/12+D16*D16)/(AE16*K16*I16)))</f>
        <v>3.1232543328444304</v>
      </c>
      <c r="AG16" s="62">
        <f aca="true" t="shared" si="10" ref="AG16:AG22">1.0857/AF16</f>
        <v>0.3476181842069917</v>
      </c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</row>
    <row r="17" spans="1:65" s="22" customFormat="1" ht="12.75">
      <c r="A17" s="38" t="s">
        <v>61</v>
      </c>
      <c r="B17" s="39">
        <v>24</v>
      </c>
      <c r="C17" s="39">
        <v>90</v>
      </c>
      <c r="D17" s="39">
        <v>12</v>
      </c>
      <c r="E17" s="39">
        <v>18</v>
      </c>
      <c r="F17" s="39">
        <v>6</v>
      </c>
      <c r="G17" s="39">
        <v>-45</v>
      </c>
      <c r="H17" s="49">
        <f>50*(122*(G17+273)*(G17+273)*(G17+273)*EXP(-6400/(G17+273)))</f>
        <v>0.04660280709513442</v>
      </c>
      <c r="I17" s="40">
        <v>2.5</v>
      </c>
      <c r="J17" s="41">
        <v>1</v>
      </c>
      <c r="K17" s="22">
        <v>60</v>
      </c>
      <c r="L17" s="46">
        <f t="shared" si="0"/>
        <v>12.133988150056355</v>
      </c>
      <c r="M17" s="39">
        <v>130</v>
      </c>
      <c r="N17" s="22">
        <v>24</v>
      </c>
      <c r="O17" s="22">
        <v>5</v>
      </c>
      <c r="P17" s="22">
        <v>800</v>
      </c>
      <c r="Q17" s="22">
        <v>80</v>
      </c>
      <c r="R17" s="49">
        <f t="shared" si="1"/>
        <v>1.499200484554815</v>
      </c>
      <c r="S17" s="50">
        <f t="shared" si="2"/>
        <v>1511676576.2691882</v>
      </c>
      <c r="T17" s="39">
        <v>21.5</v>
      </c>
      <c r="U17" s="54">
        <f t="shared" si="3"/>
        <v>3.413801798014</v>
      </c>
      <c r="V17" s="54">
        <f t="shared" si="4"/>
        <v>3.4324429208520533</v>
      </c>
      <c r="W17" s="54">
        <f t="shared" si="5"/>
        <v>0.9945691382878332</v>
      </c>
      <c r="X17" s="55">
        <f t="shared" si="6"/>
        <v>22.690668525360994</v>
      </c>
      <c r="Y17" s="42">
        <v>20.86</v>
      </c>
      <c r="Z17" s="43">
        <v>3</v>
      </c>
      <c r="AA17" s="43">
        <v>3</v>
      </c>
      <c r="AB17" s="158">
        <f aca="true" t="shared" si="11" ref="AB17:AB80">AA17*Z17/R17/2</f>
        <v>3.0015998836448263</v>
      </c>
      <c r="AC17" s="59">
        <f aca="true" t="shared" si="12" ref="AC17:AC79">3.14159*(Z17*Z17/4)*(AA17*AA17)</f>
        <v>63.6171975</v>
      </c>
      <c r="AD17" s="59">
        <f t="shared" si="7"/>
        <v>28.30447511205921</v>
      </c>
      <c r="AE17" s="60">
        <f t="shared" si="8"/>
        <v>2.738538651957213</v>
      </c>
      <c r="AF17" s="61">
        <f t="shared" si="9"/>
        <v>2.974484037421478</v>
      </c>
      <c r="AG17" s="62">
        <f t="shared" si="10"/>
        <v>0.36500448021942394</v>
      </c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</row>
    <row r="18" spans="1:65" s="22" customFormat="1" ht="12.75">
      <c r="A18" s="38" t="s">
        <v>62</v>
      </c>
      <c r="B18" s="39">
        <v>12</v>
      </c>
      <c r="C18" s="39">
        <v>55</v>
      </c>
      <c r="D18" s="39">
        <v>23</v>
      </c>
      <c r="E18" s="39">
        <v>30</v>
      </c>
      <c r="F18" s="39">
        <v>6.25</v>
      </c>
      <c r="G18" s="39">
        <v>-30</v>
      </c>
      <c r="H18" s="49">
        <f>B18*B18*(E18/16.022)*EXP(0.69315*(G18-25)/F18)</f>
        <v>0.6049121146438514</v>
      </c>
      <c r="I18" s="40">
        <v>1.7</v>
      </c>
      <c r="J18" s="41">
        <v>1</v>
      </c>
      <c r="K18" s="22">
        <v>60</v>
      </c>
      <c r="L18" s="46">
        <f t="shared" si="0"/>
        <v>23.779239409170156</v>
      </c>
      <c r="M18" s="39">
        <v>130</v>
      </c>
      <c r="N18" s="22">
        <v>24</v>
      </c>
      <c r="O18" s="22">
        <v>5</v>
      </c>
      <c r="P18" s="22">
        <v>800</v>
      </c>
      <c r="Q18" s="22">
        <v>80</v>
      </c>
      <c r="R18" s="49">
        <f t="shared" si="1"/>
        <v>0.7496002422774075</v>
      </c>
      <c r="S18" s="50">
        <f t="shared" si="2"/>
        <v>923802352.1645037</v>
      </c>
      <c r="T18" s="39">
        <v>21.5</v>
      </c>
      <c r="U18" s="54">
        <f t="shared" si="3"/>
        <v>0.766989783050531</v>
      </c>
      <c r="V18" s="54">
        <f t="shared" si="4"/>
        <v>1.1228204387233847</v>
      </c>
      <c r="W18" s="54">
        <f t="shared" si="5"/>
        <v>0.6830921103667982</v>
      </c>
      <c r="X18" s="55">
        <f t="shared" si="6"/>
        <v>10.70176082473278</v>
      </c>
      <c r="Y18" s="42">
        <v>19.58</v>
      </c>
      <c r="Z18" s="43">
        <v>3</v>
      </c>
      <c r="AA18" s="43">
        <v>3</v>
      </c>
      <c r="AB18" s="158">
        <f t="shared" si="11"/>
        <v>6.003199767289653</v>
      </c>
      <c r="AC18" s="59">
        <f t="shared" si="12"/>
        <v>63.6171975</v>
      </c>
      <c r="AD18" s="59">
        <f t="shared" si="7"/>
        <v>113.21790044823685</v>
      </c>
      <c r="AE18" s="60">
        <f t="shared" si="8"/>
        <v>8.00073972275618</v>
      </c>
      <c r="AF18" s="61">
        <f t="shared" si="9"/>
        <v>3.0062002119044133</v>
      </c>
      <c r="AG18" s="62">
        <f t="shared" si="10"/>
        <v>0.36115359040315365</v>
      </c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</row>
    <row r="19" spans="1:65" s="22" customFormat="1" ht="12.75">
      <c r="A19" s="38" t="s">
        <v>61</v>
      </c>
      <c r="B19" s="39">
        <v>24</v>
      </c>
      <c r="C19" s="39">
        <v>90</v>
      </c>
      <c r="D19" s="39">
        <v>10</v>
      </c>
      <c r="E19" s="39">
        <v>18</v>
      </c>
      <c r="F19" s="39">
        <v>6</v>
      </c>
      <c r="G19" s="39">
        <v>-40</v>
      </c>
      <c r="H19" s="49">
        <f>300*(122*(G19+273)*(G19+273)*(G19+273)*EXP(-6400/(G19+273)))</f>
        <v>0.5450420786802408</v>
      </c>
      <c r="I19" s="40">
        <v>2.5</v>
      </c>
      <c r="J19" s="41">
        <v>1</v>
      </c>
      <c r="K19" s="22">
        <v>60</v>
      </c>
      <c r="L19" s="46">
        <f t="shared" si="0"/>
        <v>11.538631839209293</v>
      </c>
      <c r="M19" s="39">
        <v>72</v>
      </c>
      <c r="N19" s="22">
        <v>12</v>
      </c>
      <c r="O19" s="22">
        <v>4</v>
      </c>
      <c r="P19" s="22">
        <v>800</v>
      </c>
      <c r="Q19" s="22">
        <v>80</v>
      </c>
      <c r="R19" s="49">
        <f t="shared" si="1"/>
        <v>2.7068897637795275</v>
      </c>
      <c r="S19" s="50">
        <f t="shared" si="2"/>
        <v>351169876.1569075</v>
      </c>
      <c r="T19" s="39">
        <v>19</v>
      </c>
      <c r="U19" s="54">
        <f t="shared" si="3"/>
        <v>25.85344284754393</v>
      </c>
      <c r="V19" s="54">
        <f t="shared" si="4"/>
        <v>26.071459679016026</v>
      </c>
      <c r="W19" s="54">
        <f t="shared" si="5"/>
        <v>0.9916377205512751</v>
      </c>
      <c r="X19" s="55">
        <f t="shared" si="6"/>
        <v>62.535741395240564</v>
      </c>
      <c r="Y19" s="42">
        <v>18.62</v>
      </c>
      <c r="Z19" s="43">
        <v>4</v>
      </c>
      <c r="AA19" s="43">
        <v>3</v>
      </c>
      <c r="AB19" s="158">
        <f t="shared" si="11"/>
        <v>2.216566067922333</v>
      </c>
      <c r="AC19" s="59">
        <f t="shared" si="12"/>
        <v>113.09724</v>
      </c>
      <c r="AD19" s="59">
        <f t="shared" si="7"/>
        <v>15.43515045164128</v>
      </c>
      <c r="AE19" s="60">
        <f t="shared" si="8"/>
        <v>5.006996015251312</v>
      </c>
      <c r="AF19" s="61">
        <f t="shared" si="9"/>
        <v>3.000267367595718</v>
      </c>
      <c r="AG19" s="62">
        <f t="shared" si="10"/>
        <v>0.36186774942995575</v>
      </c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</row>
    <row r="20" spans="1:65" s="22" customFormat="1" ht="12.75">
      <c r="A20" s="38" t="s">
        <v>62</v>
      </c>
      <c r="B20" s="39">
        <v>12</v>
      </c>
      <c r="C20" s="39">
        <v>55</v>
      </c>
      <c r="D20" s="39">
        <v>23</v>
      </c>
      <c r="E20" s="39">
        <v>30</v>
      </c>
      <c r="F20" s="39">
        <v>6.25</v>
      </c>
      <c r="G20" s="39">
        <v>-30</v>
      </c>
      <c r="H20" s="49">
        <f aca="true" t="shared" si="13" ref="H20:H31">B20*B20*(E20/16.022)*EXP(0.69315*(G20-25)/F20)</f>
        <v>0.6049121146438514</v>
      </c>
      <c r="I20" s="40">
        <v>1.7</v>
      </c>
      <c r="J20" s="41">
        <v>1</v>
      </c>
      <c r="K20" s="22">
        <v>60</v>
      </c>
      <c r="L20" s="46">
        <f t="shared" si="0"/>
        <v>23.779239409170156</v>
      </c>
      <c r="M20" s="39">
        <v>72</v>
      </c>
      <c r="N20" s="22">
        <v>12</v>
      </c>
      <c r="O20" s="22">
        <v>4</v>
      </c>
      <c r="P20" s="22">
        <v>800</v>
      </c>
      <c r="Q20" s="22">
        <v>80</v>
      </c>
      <c r="R20" s="49">
        <f t="shared" si="1"/>
        <v>1.3534448818897638</v>
      </c>
      <c r="S20" s="50">
        <f t="shared" si="2"/>
        <v>214603813.20699903</v>
      </c>
      <c r="T20" s="39">
        <v>19</v>
      </c>
      <c r="U20" s="54">
        <f t="shared" si="3"/>
        <v>5.808575803165509</v>
      </c>
      <c r="V20" s="54">
        <f t="shared" si="4"/>
        <v>6.164406458838362</v>
      </c>
      <c r="W20" s="54">
        <f t="shared" si="5"/>
        <v>0.9422765747118002</v>
      </c>
      <c r="X20" s="55">
        <f t="shared" si="6"/>
        <v>25.075275846967525</v>
      </c>
      <c r="Y20" s="42">
        <v>18</v>
      </c>
      <c r="Z20" s="43">
        <v>4</v>
      </c>
      <c r="AA20" s="43">
        <v>3</v>
      </c>
      <c r="AB20" s="158">
        <f t="shared" si="11"/>
        <v>4.433132135844666</v>
      </c>
      <c r="AC20" s="59">
        <f t="shared" si="12"/>
        <v>113.09724</v>
      </c>
      <c r="AD20" s="59">
        <f t="shared" si="7"/>
        <v>61.74060180656512</v>
      </c>
      <c r="AE20" s="60">
        <f t="shared" si="8"/>
        <v>7.965050123318307</v>
      </c>
      <c r="AF20" s="61">
        <f t="shared" si="9"/>
        <v>3.0214046773343255</v>
      </c>
      <c r="AG20" s="62">
        <f t="shared" si="10"/>
        <v>0.35933617503957577</v>
      </c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</row>
    <row r="21" spans="1:65" s="22" customFormat="1" ht="12.75">
      <c r="A21" s="38" t="s">
        <v>62</v>
      </c>
      <c r="B21" s="39">
        <v>12</v>
      </c>
      <c r="C21" s="39">
        <v>55</v>
      </c>
      <c r="D21" s="39">
        <v>23</v>
      </c>
      <c r="E21" s="39">
        <v>30</v>
      </c>
      <c r="F21" s="39">
        <v>6.25</v>
      </c>
      <c r="G21" s="39">
        <v>-30</v>
      </c>
      <c r="H21" s="49">
        <f t="shared" si="13"/>
        <v>0.6049121146438514</v>
      </c>
      <c r="I21" s="40">
        <v>1.7</v>
      </c>
      <c r="J21" s="41">
        <v>2</v>
      </c>
      <c r="K21" s="22">
        <v>60</v>
      </c>
      <c r="L21" s="46">
        <f t="shared" si="0"/>
        <v>25.967988129898018</v>
      </c>
      <c r="M21" s="39">
        <v>72</v>
      </c>
      <c r="N21" s="22">
        <v>12</v>
      </c>
      <c r="O21" s="22">
        <v>4</v>
      </c>
      <c r="P21" s="22">
        <v>800</v>
      </c>
      <c r="Q21" s="22">
        <v>80</v>
      </c>
      <c r="R21" s="49">
        <f t="shared" si="1"/>
        <v>2.7068897637795275</v>
      </c>
      <c r="S21" s="50">
        <f t="shared" si="2"/>
        <v>214603813.20699903</v>
      </c>
      <c r="T21" s="39">
        <v>19</v>
      </c>
      <c r="U21" s="54">
        <f t="shared" si="3"/>
        <v>23.234303212662034</v>
      </c>
      <c r="V21" s="54">
        <f t="shared" si="4"/>
        <v>24.657625835353446</v>
      </c>
      <c r="W21" s="54">
        <f t="shared" si="5"/>
        <v>0.9422765747118002</v>
      </c>
      <c r="X21" s="55">
        <f t="shared" si="6"/>
        <v>50.15055169393505</v>
      </c>
      <c r="Y21" s="42">
        <v>18.23</v>
      </c>
      <c r="Z21" s="43">
        <v>4</v>
      </c>
      <c r="AA21" s="43">
        <v>3</v>
      </c>
      <c r="AB21" s="158">
        <f t="shared" si="11"/>
        <v>2.216566067922333</v>
      </c>
      <c r="AC21" s="59">
        <f t="shared" si="12"/>
        <v>113.09724</v>
      </c>
      <c r="AD21" s="59">
        <f t="shared" si="7"/>
        <v>15.43515045164128</v>
      </c>
      <c r="AE21" s="60">
        <f t="shared" si="8"/>
        <v>6.444489391527108</v>
      </c>
      <c r="AF21" s="61">
        <f t="shared" si="9"/>
        <v>3.0114622886574054</v>
      </c>
      <c r="AG21" s="62">
        <f t="shared" si="10"/>
        <v>0.3605225289020756</v>
      </c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</row>
    <row r="22" spans="1:65" s="22" customFormat="1" ht="12.75">
      <c r="A22" s="38" t="s">
        <v>63</v>
      </c>
      <c r="B22" s="39">
        <v>25</v>
      </c>
      <c r="C22" s="39">
        <v>55</v>
      </c>
      <c r="D22" s="39">
        <v>28</v>
      </c>
      <c r="E22" s="39">
        <v>800</v>
      </c>
      <c r="F22" s="39">
        <v>7</v>
      </c>
      <c r="G22" s="39">
        <v>-40</v>
      </c>
      <c r="H22" s="49">
        <f t="shared" si="13"/>
        <v>49.999236857843925</v>
      </c>
      <c r="I22" s="40">
        <v>6.3</v>
      </c>
      <c r="J22" s="41">
        <v>1</v>
      </c>
      <c r="K22" s="22">
        <v>60</v>
      </c>
      <c r="L22" s="46">
        <f t="shared" si="0"/>
        <v>61.540055070964165</v>
      </c>
      <c r="M22" s="39">
        <v>72</v>
      </c>
      <c r="N22" s="22">
        <v>12</v>
      </c>
      <c r="O22" s="22">
        <v>4</v>
      </c>
      <c r="P22" s="22">
        <v>800</v>
      </c>
      <c r="Q22" s="22">
        <v>80</v>
      </c>
      <c r="R22" s="49">
        <f t="shared" si="1"/>
        <v>2.8196768372703414</v>
      </c>
      <c r="S22" s="50">
        <f t="shared" si="2"/>
        <v>214603813.20699903</v>
      </c>
      <c r="T22" s="39">
        <v>19</v>
      </c>
      <c r="U22" s="54">
        <f t="shared" si="3"/>
        <v>6.802923049893468</v>
      </c>
      <c r="V22" s="54">
        <f t="shared" si="4"/>
        <v>14.739309852725837</v>
      </c>
      <c r="W22" s="54">
        <f t="shared" si="5"/>
        <v>0.4615496327757408</v>
      </c>
      <c r="X22" s="55">
        <f t="shared" si="6"/>
        <v>74.64220739186621</v>
      </c>
      <c r="Y22" s="42">
        <v>18.19</v>
      </c>
      <c r="Z22" s="43">
        <v>3</v>
      </c>
      <c r="AA22" s="43">
        <v>3</v>
      </c>
      <c r="AB22" s="158">
        <f t="shared" si="11"/>
        <v>1.5959275689040797</v>
      </c>
      <c r="AC22" s="59">
        <f t="shared" si="12"/>
        <v>63.6171975</v>
      </c>
      <c r="AD22" s="59">
        <f t="shared" si="7"/>
        <v>8.00158199413084</v>
      </c>
      <c r="AE22" s="60">
        <f t="shared" si="8"/>
        <v>1.80425071072223</v>
      </c>
      <c r="AF22" s="61">
        <f t="shared" si="9"/>
        <v>3.0034871378423893</v>
      </c>
      <c r="AG22" s="62">
        <f t="shared" si="10"/>
        <v>0.3614798233429203</v>
      </c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</row>
    <row r="23" spans="1:65" s="22" customFormat="1" ht="12.75">
      <c r="A23" s="107" t="s">
        <v>83</v>
      </c>
      <c r="B23" s="108">
        <v>9</v>
      </c>
      <c r="C23" s="108">
        <v>70</v>
      </c>
      <c r="D23" s="108">
        <v>15</v>
      </c>
      <c r="E23" s="108">
        <v>6</v>
      </c>
      <c r="F23" s="108">
        <v>6.3</v>
      </c>
      <c r="G23" s="108">
        <v>-20</v>
      </c>
      <c r="H23" s="109">
        <f t="shared" si="13"/>
        <v>0.21463302225307346</v>
      </c>
      <c r="I23" s="110">
        <v>2.3</v>
      </c>
      <c r="J23" s="111">
        <v>1</v>
      </c>
      <c r="K23" s="108">
        <v>120</v>
      </c>
      <c r="L23" s="112">
        <f aca="true" t="shared" si="14" ref="L23:L30">SQRT(K23*H23*J23*J23+D23*D23+(I23*I23-1)/12)</f>
        <v>15.846559963297045</v>
      </c>
      <c r="M23" s="108">
        <v>100</v>
      </c>
      <c r="N23" s="108">
        <v>10</v>
      </c>
      <c r="O23" s="108">
        <v>3.5</v>
      </c>
      <c r="P23" s="108">
        <v>800</v>
      </c>
      <c r="Q23" s="108">
        <v>80</v>
      </c>
      <c r="R23" s="109">
        <f aca="true" t="shared" si="15" ref="R23:R30">B23*J23/((25.4*M23/206265)*1000)</f>
        <v>0.7308602362204725</v>
      </c>
      <c r="S23" s="113">
        <f aca="true" t="shared" si="16" ref="S23:S30">940*P23*Q23/100*C23/100*3.14159*(N23*N23-O23*O23)/4*2.54*2.54</f>
        <v>187244875.37272608</v>
      </c>
      <c r="T23" s="108">
        <v>20</v>
      </c>
      <c r="U23" s="114">
        <f aca="true" t="shared" si="17" ref="U23:U30">(S23*(EXP(-0.4*LN(10)*T23))*R23*R23)/I23</f>
        <v>0.43486131257133803</v>
      </c>
      <c r="V23" s="114">
        <f aca="true" t="shared" si="18" ref="V23:V30">(S23*(EXP(-0.4*LN(10)*T23))*R23*R23+(J23*J23*H23))/I23</f>
        <v>0.5281800178987612</v>
      </c>
      <c r="W23" s="114">
        <f aca="true" t="shared" si="19" ref="W23:W30">U23/V23</f>
        <v>0.8233202655059358</v>
      </c>
      <c r="X23" s="115">
        <f aca="true" t="shared" si="20" ref="X23:X30">SQRT(V23*K23*I23)</f>
        <v>12.073843006270128</v>
      </c>
      <c r="Y23" s="116">
        <v>15</v>
      </c>
      <c r="Z23" s="117">
        <v>3</v>
      </c>
      <c r="AA23" s="117">
        <v>3</v>
      </c>
      <c r="AB23" s="159">
        <f t="shared" si="11"/>
        <v>6.157127966450925</v>
      </c>
      <c r="AC23" s="118">
        <f t="shared" si="12"/>
        <v>63.6171975</v>
      </c>
      <c r="AD23" s="118">
        <f aca="true" t="shared" si="21" ref="AD23:AD30">AC23/(R23*R23)</f>
        <v>119.09838311451604</v>
      </c>
      <c r="AE23" s="119">
        <f aca="true" t="shared" si="22" ref="AE23:AE30">S23*EXP(-0.4*LN(10)*Y23)/I23</f>
        <v>81.41081537944588</v>
      </c>
      <c r="AF23" s="120">
        <f aca="true" t="shared" si="23" ref="AF23:AF30">SQRT((AE23*K23*I23)/(1+(MAX(1,AD23))*(V23*I23*K23+(I23*I23-1)/12+D23*D23)/(AE23*K23*I23)))</f>
        <v>87.02073542083797</v>
      </c>
      <c r="AG23" s="121">
        <f aca="true" t="shared" si="24" ref="AG23:AG30">1.0857/AF23</f>
        <v>0.012476336757549611</v>
      </c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</row>
    <row r="24" spans="1:65" s="22" customFormat="1" ht="12.75">
      <c r="A24" s="107" t="s">
        <v>83</v>
      </c>
      <c r="B24" s="108">
        <v>9</v>
      </c>
      <c r="C24" s="108">
        <v>70</v>
      </c>
      <c r="D24" s="108">
        <v>15</v>
      </c>
      <c r="E24" s="108">
        <v>6</v>
      </c>
      <c r="F24" s="108">
        <v>6.3</v>
      </c>
      <c r="G24" s="108">
        <v>-20</v>
      </c>
      <c r="H24" s="109">
        <f t="shared" si="13"/>
        <v>0.21463302225307346</v>
      </c>
      <c r="I24" s="110">
        <v>2.3</v>
      </c>
      <c r="J24" s="111">
        <v>2</v>
      </c>
      <c r="K24" s="108">
        <v>120</v>
      </c>
      <c r="L24" s="112">
        <f t="shared" si="14"/>
        <v>18.1212955022944</v>
      </c>
      <c r="M24" s="108">
        <v>100</v>
      </c>
      <c r="N24" s="108">
        <v>10</v>
      </c>
      <c r="O24" s="108">
        <v>3.5</v>
      </c>
      <c r="P24" s="108">
        <v>800</v>
      </c>
      <c r="Q24" s="108">
        <v>80</v>
      </c>
      <c r="R24" s="109">
        <f t="shared" si="15"/>
        <v>1.461720472440945</v>
      </c>
      <c r="S24" s="113">
        <f t="shared" si="16"/>
        <v>187244875.37272608</v>
      </c>
      <c r="T24" s="108">
        <v>20</v>
      </c>
      <c r="U24" s="114">
        <f t="shared" si="17"/>
        <v>1.7394452502853521</v>
      </c>
      <c r="V24" s="114">
        <f t="shared" si="18"/>
        <v>2.112720071595045</v>
      </c>
      <c r="W24" s="114">
        <f t="shared" si="19"/>
        <v>0.8233202655059358</v>
      </c>
      <c r="X24" s="115">
        <f t="shared" si="20"/>
        <v>24.147686012540255</v>
      </c>
      <c r="Y24" s="116">
        <v>15</v>
      </c>
      <c r="Z24" s="117">
        <v>3</v>
      </c>
      <c r="AA24" s="117">
        <v>3</v>
      </c>
      <c r="AB24" s="159">
        <f t="shared" si="11"/>
        <v>3.0785639832254623</v>
      </c>
      <c r="AC24" s="118">
        <f t="shared" si="12"/>
        <v>63.6171975</v>
      </c>
      <c r="AD24" s="118">
        <f t="shared" si="21"/>
        <v>29.77459577862901</v>
      </c>
      <c r="AE24" s="119">
        <f t="shared" si="22"/>
        <v>81.41081537944588</v>
      </c>
      <c r="AF24" s="120">
        <f t="shared" si="23"/>
        <v>104.15314724889255</v>
      </c>
      <c r="AG24" s="121">
        <f t="shared" si="24"/>
        <v>0.010424072903006244</v>
      </c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</row>
    <row r="25" spans="1:65" s="22" customFormat="1" ht="12.75">
      <c r="A25" s="122" t="s">
        <v>84</v>
      </c>
      <c r="B25" s="123">
        <v>20</v>
      </c>
      <c r="C25" s="123">
        <v>55</v>
      </c>
      <c r="D25" s="123">
        <v>15</v>
      </c>
      <c r="E25" s="123">
        <v>15.3</v>
      </c>
      <c r="F25" s="123">
        <v>6.3</v>
      </c>
      <c r="G25" s="123">
        <v>-20</v>
      </c>
      <c r="H25" s="124">
        <f t="shared" si="13"/>
        <v>2.7027862061498142</v>
      </c>
      <c r="I25" s="125">
        <v>2.3</v>
      </c>
      <c r="J25" s="126">
        <v>1</v>
      </c>
      <c r="K25" s="123">
        <v>120</v>
      </c>
      <c r="L25" s="127">
        <f t="shared" si="14"/>
        <v>23.44550798634949</v>
      </c>
      <c r="M25" s="123">
        <v>100</v>
      </c>
      <c r="N25" s="123">
        <v>10</v>
      </c>
      <c r="O25" s="123">
        <v>3.5</v>
      </c>
      <c r="P25" s="123">
        <v>800</v>
      </c>
      <c r="Q25" s="123">
        <v>80</v>
      </c>
      <c r="R25" s="124">
        <f t="shared" si="15"/>
        <v>1.6241338582677165</v>
      </c>
      <c r="S25" s="128">
        <f t="shared" si="16"/>
        <v>147120973.50714192</v>
      </c>
      <c r="T25" s="123">
        <v>20</v>
      </c>
      <c r="U25" s="129">
        <f t="shared" si="17"/>
        <v>1.6872925708235336</v>
      </c>
      <c r="V25" s="129">
        <f t="shared" si="18"/>
        <v>2.8624170082799747</v>
      </c>
      <c r="W25" s="129">
        <f t="shared" si="19"/>
        <v>0.5894642764987715</v>
      </c>
      <c r="X25" s="130">
        <f t="shared" si="20"/>
        <v>28.107420626682785</v>
      </c>
      <c r="Y25" s="131">
        <v>15</v>
      </c>
      <c r="Z25" s="132">
        <v>3</v>
      </c>
      <c r="AA25" s="132">
        <v>3</v>
      </c>
      <c r="AB25" s="160">
        <f t="shared" si="11"/>
        <v>2.770707584902916</v>
      </c>
      <c r="AC25" s="133">
        <f t="shared" si="12"/>
        <v>63.6171975</v>
      </c>
      <c r="AD25" s="133">
        <f t="shared" si="21"/>
        <v>24.1174225806895</v>
      </c>
      <c r="AE25" s="134">
        <f t="shared" si="22"/>
        <v>63.96564065527891</v>
      </c>
      <c r="AF25" s="135">
        <f t="shared" si="23"/>
        <v>85.99896703113419</v>
      </c>
      <c r="AG25" s="136">
        <f t="shared" si="24"/>
        <v>0.012624570241720978</v>
      </c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</row>
    <row r="26" spans="1:65" s="22" customFormat="1" ht="12.75">
      <c r="A26" s="137" t="s">
        <v>85</v>
      </c>
      <c r="B26" s="138">
        <v>6.8</v>
      </c>
      <c r="C26" s="138">
        <v>80</v>
      </c>
      <c r="D26" s="138">
        <v>8.8</v>
      </c>
      <c r="E26" s="138">
        <v>6</v>
      </c>
      <c r="F26" s="138">
        <v>6</v>
      </c>
      <c r="G26" s="138">
        <v>-20</v>
      </c>
      <c r="H26" s="139">
        <f t="shared" si="13"/>
        <v>0.09565731739920175</v>
      </c>
      <c r="I26" s="140">
        <v>1.4</v>
      </c>
      <c r="J26" s="141">
        <v>1</v>
      </c>
      <c r="K26" s="138">
        <v>120</v>
      </c>
      <c r="L26" s="142">
        <f t="shared" si="14"/>
        <v>9.43392167064706</v>
      </c>
      <c r="M26" s="138">
        <v>100</v>
      </c>
      <c r="N26" s="138">
        <v>10</v>
      </c>
      <c r="O26" s="138">
        <v>3.5</v>
      </c>
      <c r="P26" s="138">
        <v>800</v>
      </c>
      <c r="Q26" s="138">
        <v>80</v>
      </c>
      <c r="R26" s="139">
        <f t="shared" si="15"/>
        <v>0.5522055118110236</v>
      </c>
      <c r="S26" s="143">
        <f t="shared" si="16"/>
        <v>213994143.2831155</v>
      </c>
      <c r="T26" s="138">
        <v>20</v>
      </c>
      <c r="U26" s="144">
        <f t="shared" si="17"/>
        <v>0.4660959467330505</v>
      </c>
      <c r="V26" s="144">
        <f t="shared" si="18"/>
        <v>0.5344226020181947</v>
      </c>
      <c r="W26" s="144">
        <f t="shared" si="19"/>
        <v>0.872148642240962</v>
      </c>
      <c r="X26" s="145">
        <f t="shared" si="20"/>
        <v>9.475389023098561</v>
      </c>
      <c r="Y26" s="146">
        <v>15</v>
      </c>
      <c r="Z26" s="147">
        <v>3</v>
      </c>
      <c r="AA26" s="147">
        <v>3</v>
      </c>
      <c r="AB26" s="161">
        <f t="shared" si="11"/>
        <v>8.149139955596812</v>
      </c>
      <c r="AC26" s="148">
        <f t="shared" si="12"/>
        <v>63.6171975</v>
      </c>
      <c r="AD26" s="148">
        <f t="shared" si="21"/>
        <v>208.62822301634515</v>
      </c>
      <c r="AE26" s="149">
        <f t="shared" si="22"/>
        <v>152.8529594879392</v>
      </c>
      <c r="AF26" s="150">
        <f t="shared" si="23"/>
        <v>104.32928366034777</v>
      </c>
      <c r="AG26" s="151">
        <f t="shared" si="24"/>
        <v>0.010406474212308236</v>
      </c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</row>
    <row r="27" spans="1:65" s="22" customFormat="1" ht="12.75">
      <c r="A27" s="137" t="s">
        <v>85</v>
      </c>
      <c r="B27" s="138">
        <v>6.8</v>
      </c>
      <c r="C27" s="138">
        <v>80</v>
      </c>
      <c r="D27" s="138">
        <v>8.8</v>
      </c>
      <c r="E27" s="138">
        <v>6</v>
      </c>
      <c r="F27" s="138">
        <v>6</v>
      </c>
      <c r="G27" s="138">
        <v>-20</v>
      </c>
      <c r="H27" s="139">
        <f t="shared" si="13"/>
        <v>0.09565731739920175</v>
      </c>
      <c r="I27" s="140">
        <v>1.4</v>
      </c>
      <c r="J27" s="141">
        <v>2</v>
      </c>
      <c r="K27" s="138">
        <v>120</v>
      </c>
      <c r="L27" s="142">
        <f t="shared" si="14"/>
        <v>11.1101535701185</v>
      </c>
      <c r="M27" s="138">
        <v>100</v>
      </c>
      <c r="N27" s="138">
        <v>10</v>
      </c>
      <c r="O27" s="138">
        <v>3.5</v>
      </c>
      <c r="P27" s="138">
        <v>800</v>
      </c>
      <c r="Q27" s="138">
        <v>80</v>
      </c>
      <c r="R27" s="139">
        <f t="shared" si="15"/>
        <v>1.1044110236220472</v>
      </c>
      <c r="S27" s="143">
        <f t="shared" si="16"/>
        <v>213994143.2831155</v>
      </c>
      <c r="T27" s="138">
        <v>20</v>
      </c>
      <c r="U27" s="144">
        <f t="shared" si="17"/>
        <v>1.864383786932202</v>
      </c>
      <c r="V27" s="144">
        <f t="shared" si="18"/>
        <v>2.1376904080727788</v>
      </c>
      <c r="W27" s="144">
        <f t="shared" si="19"/>
        <v>0.872148642240962</v>
      </c>
      <c r="X27" s="145">
        <f t="shared" si="20"/>
        <v>18.950778046197122</v>
      </c>
      <c r="Y27" s="146">
        <v>15</v>
      </c>
      <c r="Z27" s="147">
        <v>3</v>
      </c>
      <c r="AA27" s="147">
        <v>3</v>
      </c>
      <c r="AB27" s="161">
        <f t="shared" si="11"/>
        <v>4.074569977798406</v>
      </c>
      <c r="AC27" s="148">
        <f t="shared" si="12"/>
        <v>63.6171975</v>
      </c>
      <c r="AD27" s="148">
        <f t="shared" si="21"/>
        <v>52.15705575408629</v>
      </c>
      <c r="AE27" s="149">
        <f t="shared" si="22"/>
        <v>152.8529594879392</v>
      </c>
      <c r="AF27" s="150">
        <f t="shared" si="23"/>
        <v>116.65928359329203</v>
      </c>
      <c r="AG27" s="151">
        <f t="shared" si="24"/>
        <v>0.009306588953392377</v>
      </c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</row>
    <row r="28" spans="1:65" s="22" customFormat="1" ht="12.75">
      <c r="A28" s="137" t="s">
        <v>85</v>
      </c>
      <c r="B28" s="138">
        <v>6.8</v>
      </c>
      <c r="C28" s="138">
        <v>80</v>
      </c>
      <c r="D28" s="138">
        <v>8.8</v>
      </c>
      <c r="E28" s="138">
        <v>6</v>
      </c>
      <c r="F28" s="138">
        <v>6</v>
      </c>
      <c r="G28" s="138">
        <v>-20</v>
      </c>
      <c r="H28" s="139">
        <f t="shared" si="13"/>
        <v>0.09565731739920175</v>
      </c>
      <c r="I28" s="140">
        <v>1.4</v>
      </c>
      <c r="J28" s="141">
        <v>3</v>
      </c>
      <c r="K28" s="138">
        <v>120</v>
      </c>
      <c r="L28" s="142">
        <f t="shared" si="14"/>
        <v>13.447300948188001</v>
      </c>
      <c r="M28" s="138">
        <v>100</v>
      </c>
      <c r="N28" s="138">
        <v>10</v>
      </c>
      <c r="O28" s="138">
        <v>3.5</v>
      </c>
      <c r="P28" s="138">
        <v>800</v>
      </c>
      <c r="Q28" s="138">
        <v>80</v>
      </c>
      <c r="R28" s="139">
        <f t="shared" si="15"/>
        <v>1.6566165354330709</v>
      </c>
      <c r="S28" s="143">
        <f t="shared" si="16"/>
        <v>213994143.2831155</v>
      </c>
      <c r="T28" s="138">
        <v>20</v>
      </c>
      <c r="U28" s="144">
        <f t="shared" si="17"/>
        <v>4.194863520597454</v>
      </c>
      <c r="V28" s="144">
        <f t="shared" si="18"/>
        <v>4.809803418163751</v>
      </c>
      <c r="W28" s="144">
        <f t="shared" si="19"/>
        <v>0.872148642240962</v>
      </c>
      <c r="X28" s="145">
        <f t="shared" si="20"/>
        <v>28.42616706929568</v>
      </c>
      <c r="Y28" s="146">
        <v>15</v>
      </c>
      <c r="Z28" s="147">
        <v>3</v>
      </c>
      <c r="AA28" s="147">
        <v>3</v>
      </c>
      <c r="AB28" s="161">
        <f t="shared" si="11"/>
        <v>2.7163799851989374</v>
      </c>
      <c r="AC28" s="148">
        <f t="shared" si="12"/>
        <v>63.6171975</v>
      </c>
      <c r="AD28" s="148">
        <f t="shared" si="21"/>
        <v>23.1809136684828</v>
      </c>
      <c r="AE28" s="149">
        <f t="shared" si="22"/>
        <v>152.8529594879392</v>
      </c>
      <c r="AF28" s="150">
        <f t="shared" si="23"/>
        <v>119.46114368731968</v>
      </c>
      <c r="AG28" s="151">
        <f t="shared" si="24"/>
        <v>0.009088310780296363</v>
      </c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</row>
    <row r="29" spans="1:65" s="22" customFormat="1" ht="12.75">
      <c r="A29" s="38" t="s">
        <v>62</v>
      </c>
      <c r="B29" s="39">
        <v>12</v>
      </c>
      <c r="C29" s="39">
        <v>55</v>
      </c>
      <c r="D29" s="39">
        <v>23</v>
      </c>
      <c r="E29" s="39">
        <v>30</v>
      </c>
      <c r="F29" s="39">
        <v>6.25</v>
      </c>
      <c r="G29" s="39">
        <v>-30</v>
      </c>
      <c r="H29" s="49">
        <f t="shared" si="13"/>
        <v>0.6049121146438514</v>
      </c>
      <c r="I29" s="40">
        <v>1.7</v>
      </c>
      <c r="J29" s="41">
        <v>1</v>
      </c>
      <c r="K29" s="22">
        <v>60</v>
      </c>
      <c r="L29" s="46">
        <f t="shared" si="14"/>
        <v>23.779239409170156</v>
      </c>
      <c r="M29" s="39">
        <v>72</v>
      </c>
      <c r="N29" s="22">
        <v>12</v>
      </c>
      <c r="O29" s="22">
        <v>4</v>
      </c>
      <c r="P29" s="22">
        <v>800</v>
      </c>
      <c r="Q29" s="22">
        <v>80</v>
      </c>
      <c r="R29" s="49">
        <f t="shared" si="15"/>
        <v>1.3534448818897638</v>
      </c>
      <c r="S29" s="50">
        <f t="shared" si="16"/>
        <v>214603813.20699903</v>
      </c>
      <c r="T29" s="39">
        <v>21.5</v>
      </c>
      <c r="U29" s="54">
        <f t="shared" si="17"/>
        <v>0.5808575803165502</v>
      </c>
      <c r="V29" s="54">
        <f t="shared" si="18"/>
        <v>0.936688235989404</v>
      </c>
      <c r="W29" s="54">
        <f t="shared" si="19"/>
        <v>0.6201183680960854</v>
      </c>
      <c r="X29" s="55">
        <f t="shared" si="20"/>
        <v>9.77456904783629</v>
      </c>
      <c r="Y29" s="42">
        <v>18.34</v>
      </c>
      <c r="Z29" s="43">
        <v>4</v>
      </c>
      <c r="AA29" s="43">
        <v>3</v>
      </c>
      <c r="AB29" s="158">
        <f t="shared" si="11"/>
        <v>4.433132135844666</v>
      </c>
      <c r="AC29" s="59">
        <f t="shared" si="12"/>
        <v>113.09724</v>
      </c>
      <c r="AD29" s="59">
        <f t="shared" si="21"/>
        <v>61.74060180656512</v>
      </c>
      <c r="AE29" s="60">
        <f t="shared" si="22"/>
        <v>5.823559447062431</v>
      </c>
      <c r="AF29" s="61">
        <f t="shared" si="23"/>
        <v>3.0015724582196306</v>
      </c>
      <c r="AG29" s="62">
        <f t="shared" si="24"/>
        <v>0.3617104084983436</v>
      </c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</row>
    <row r="30" spans="1:65" s="22" customFormat="1" ht="12.75">
      <c r="A30" s="38" t="s">
        <v>62</v>
      </c>
      <c r="B30" s="39">
        <v>12</v>
      </c>
      <c r="C30" s="39">
        <v>55</v>
      </c>
      <c r="D30" s="39">
        <v>23</v>
      </c>
      <c r="E30" s="39">
        <v>30</v>
      </c>
      <c r="F30" s="39">
        <v>6.25</v>
      </c>
      <c r="G30" s="39">
        <v>-30</v>
      </c>
      <c r="H30" s="49">
        <f t="shared" si="13"/>
        <v>0.6049121146438514</v>
      </c>
      <c r="I30" s="40">
        <v>1.7</v>
      </c>
      <c r="J30" s="41">
        <v>2</v>
      </c>
      <c r="K30" s="22">
        <v>60</v>
      </c>
      <c r="L30" s="46">
        <f t="shared" si="14"/>
        <v>25.967988129898018</v>
      </c>
      <c r="M30" s="39">
        <v>72</v>
      </c>
      <c r="N30" s="22">
        <v>12</v>
      </c>
      <c r="O30" s="22">
        <v>4</v>
      </c>
      <c r="P30" s="22">
        <v>800</v>
      </c>
      <c r="Q30" s="22">
        <v>80</v>
      </c>
      <c r="R30" s="49">
        <f t="shared" si="15"/>
        <v>2.7068897637795275</v>
      </c>
      <c r="S30" s="50">
        <f t="shared" si="16"/>
        <v>214603813.20699903</v>
      </c>
      <c r="T30" s="39">
        <v>21.5</v>
      </c>
      <c r="U30" s="54">
        <f t="shared" si="17"/>
        <v>2.323430321266201</v>
      </c>
      <c r="V30" s="54">
        <f t="shared" si="18"/>
        <v>3.746752943957616</v>
      </c>
      <c r="W30" s="54">
        <f t="shared" si="19"/>
        <v>0.6201183680960854</v>
      </c>
      <c r="X30" s="55">
        <f t="shared" si="20"/>
        <v>19.54913809567258</v>
      </c>
      <c r="Y30" s="42">
        <v>18.88</v>
      </c>
      <c r="Z30" s="43">
        <v>4</v>
      </c>
      <c r="AA30" s="43">
        <v>3</v>
      </c>
      <c r="AB30" s="158">
        <f t="shared" si="11"/>
        <v>2.216566067922333</v>
      </c>
      <c r="AC30" s="59">
        <f t="shared" si="12"/>
        <v>113.09724</v>
      </c>
      <c r="AD30" s="59">
        <f t="shared" si="21"/>
        <v>15.43515045164128</v>
      </c>
      <c r="AE30" s="60">
        <f t="shared" si="22"/>
        <v>3.5415103317859944</v>
      </c>
      <c r="AF30" s="61">
        <f t="shared" si="23"/>
        <v>3.0073934150372073</v>
      </c>
      <c r="AG30" s="62">
        <f t="shared" si="24"/>
        <v>0.3610103003389624</v>
      </c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</row>
    <row r="31" spans="1:65" s="22" customFormat="1" ht="12.75">
      <c r="A31" s="38" t="s">
        <v>63</v>
      </c>
      <c r="B31" s="39">
        <v>25</v>
      </c>
      <c r="C31" s="39">
        <v>55</v>
      </c>
      <c r="D31" s="39">
        <v>28</v>
      </c>
      <c r="E31" s="39">
        <v>800</v>
      </c>
      <c r="F31" s="39">
        <v>7</v>
      </c>
      <c r="G31" s="39">
        <v>-40</v>
      </c>
      <c r="H31" s="49">
        <f t="shared" si="13"/>
        <v>49.999236857843925</v>
      </c>
      <c r="I31" s="40">
        <v>6.3</v>
      </c>
      <c r="J31" s="41">
        <v>1</v>
      </c>
      <c r="K31" s="22">
        <v>60</v>
      </c>
      <c r="L31" s="46">
        <f aca="true" t="shared" si="25" ref="L31:L45">SQRT(K31*H31*J31*J31+D31*D31+(I31*I31-1)/12)</f>
        <v>61.540055070964165</v>
      </c>
      <c r="M31" s="39">
        <v>72</v>
      </c>
      <c r="N31" s="22">
        <v>12</v>
      </c>
      <c r="O31" s="22">
        <v>4</v>
      </c>
      <c r="P31" s="22">
        <v>800</v>
      </c>
      <c r="Q31" s="22">
        <v>80</v>
      </c>
      <c r="R31" s="49">
        <f aca="true" t="shared" si="26" ref="R31:R44">B31*J31/((25.4*M31/206265)*1000)</f>
        <v>2.8196768372703414</v>
      </c>
      <c r="S31" s="50">
        <f aca="true" t="shared" si="27" ref="S31:S44">940*P31*Q31/100*C31/100*3.14159*(N31*N31-O31*O31)/4*2.54*2.54</f>
        <v>214603813.20699903</v>
      </c>
      <c r="T31" s="39">
        <v>21.5</v>
      </c>
      <c r="U31" s="54">
        <f aca="true" t="shared" si="28" ref="U31:U44">(S31*(EXP(-0.4*LN(10)*T31))*R31*R31)/I31</f>
        <v>0.680292304989346</v>
      </c>
      <c r="V31" s="54">
        <f aca="true" t="shared" si="29" ref="V31:V44">(S31*(EXP(-0.4*LN(10)*T31))*R31*R31+(J31*J31*H31))/I31</f>
        <v>8.616679107821716</v>
      </c>
      <c r="W31" s="54">
        <f aca="true" t="shared" si="30" ref="W31:W44">U31/V31</f>
        <v>0.07895063706989118</v>
      </c>
      <c r="X31" s="55">
        <f aca="true" t="shared" si="31" ref="X31:X44">SQRT(V31*K31*I31)</f>
        <v>57.07104960272422</v>
      </c>
      <c r="Y31" s="42">
        <v>18.43</v>
      </c>
      <c r="Z31" s="43">
        <v>3</v>
      </c>
      <c r="AA31" s="43">
        <v>3</v>
      </c>
      <c r="AB31" s="158">
        <f t="shared" si="11"/>
        <v>1.5959275689040797</v>
      </c>
      <c r="AC31" s="59">
        <f t="shared" si="12"/>
        <v>63.6171975</v>
      </c>
      <c r="AD31" s="59">
        <f aca="true" t="shared" si="32" ref="AD31:AD45">AC31/(R31*R31)</f>
        <v>8.00158199413084</v>
      </c>
      <c r="AE31" s="60">
        <f aca="true" t="shared" si="33" ref="AE31:AE44">S31*EXP(-0.4*LN(10)*Y31)/I31</f>
        <v>1.4464282156376465</v>
      </c>
      <c r="AF31" s="61">
        <f aca="true" t="shared" si="34" ref="AF31:AF45">SQRT((AE31*K31*I31)/(1+(MAX(1,AD31))*(V31*I31*K31+(I31*I31-1)/12+D31*D31)/(AE31*K31*I31)))</f>
        <v>3.013973290712221</v>
      </c>
      <c r="AG31" s="62">
        <f aca="true" t="shared" si="35" ref="AG31:AG44">1.0857/AF31</f>
        <v>0.36022217029781384</v>
      </c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</row>
    <row r="32" spans="1:65" s="22" customFormat="1" ht="12.75">
      <c r="A32" s="38" t="s">
        <v>64</v>
      </c>
      <c r="B32" s="39">
        <v>24</v>
      </c>
      <c r="C32" s="39">
        <v>87</v>
      </c>
      <c r="D32" s="39">
        <v>10</v>
      </c>
      <c r="E32" s="39">
        <v>13</v>
      </c>
      <c r="F32" s="39" t="s">
        <v>65</v>
      </c>
      <c r="G32" s="39">
        <v>-40</v>
      </c>
      <c r="H32" s="49">
        <f aca="true" t="shared" si="36" ref="H32:H37">E32/13*417*(122*(G32+273)*(G32+273)*(G32+273)*EXP(-6400/(G32+273)))</f>
        <v>0.7576084893655347</v>
      </c>
      <c r="I32" s="40">
        <v>3.5</v>
      </c>
      <c r="J32" s="41">
        <v>1</v>
      </c>
      <c r="K32" s="22">
        <v>600</v>
      </c>
      <c r="L32" s="46">
        <f t="shared" si="25"/>
        <v>23.56910252044657</v>
      </c>
      <c r="M32" s="39">
        <v>130</v>
      </c>
      <c r="N32" s="22">
        <v>24</v>
      </c>
      <c r="O32" s="22">
        <v>5</v>
      </c>
      <c r="P32" s="22">
        <v>1000</v>
      </c>
      <c r="Q32" s="22">
        <v>80</v>
      </c>
      <c r="R32" s="49">
        <f t="shared" si="26"/>
        <v>1.499200484554815</v>
      </c>
      <c r="S32" s="50">
        <f t="shared" si="27"/>
        <v>1826609196.3252687</v>
      </c>
      <c r="T32" s="39">
        <v>21.5</v>
      </c>
      <c r="U32" s="54">
        <f t="shared" si="28"/>
        <v>2.946436075666845</v>
      </c>
      <c r="V32" s="54">
        <f t="shared" si="29"/>
        <v>3.1628956440569977</v>
      </c>
      <c r="W32" s="54">
        <f t="shared" si="30"/>
        <v>0.9315628484939505</v>
      </c>
      <c r="X32" s="55">
        <f t="shared" si="31"/>
        <v>81.49896227879037</v>
      </c>
      <c r="Y32" s="42">
        <v>22</v>
      </c>
      <c r="Z32" s="43">
        <v>1.5</v>
      </c>
      <c r="AA32" s="43">
        <v>3</v>
      </c>
      <c r="AB32" s="158">
        <f t="shared" si="11"/>
        <v>1.5007999418224132</v>
      </c>
      <c r="AC32" s="59">
        <f t="shared" si="12"/>
        <v>15.904299375</v>
      </c>
      <c r="AD32" s="59">
        <f t="shared" si="32"/>
        <v>7.076118778014803</v>
      </c>
      <c r="AE32" s="60">
        <f t="shared" si="33"/>
        <v>0.8271372801550773</v>
      </c>
      <c r="AF32" s="61">
        <f t="shared" si="34"/>
        <v>7.811018229202289</v>
      </c>
      <c r="AG32" s="62">
        <f t="shared" si="35"/>
        <v>0.13899596290032967</v>
      </c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</row>
    <row r="33" spans="1:65" s="22" customFormat="1" ht="12.75">
      <c r="A33" s="38" t="s">
        <v>64</v>
      </c>
      <c r="B33" s="39">
        <v>24</v>
      </c>
      <c r="C33" s="39">
        <v>88.2</v>
      </c>
      <c r="D33" s="39">
        <v>10</v>
      </c>
      <c r="E33" s="39">
        <v>16</v>
      </c>
      <c r="F33" s="39" t="s">
        <v>66</v>
      </c>
      <c r="G33" s="39">
        <v>-40</v>
      </c>
      <c r="H33" s="49">
        <f t="shared" si="36"/>
        <v>0.9324412176806582</v>
      </c>
      <c r="I33" s="40">
        <v>3.5</v>
      </c>
      <c r="J33" s="41">
        <v>1</v>
      </c>
      <c r="K33" s="22">
        <v>600</v>
      </c>
      <c r="L33" s="46">
        <f t="shared" si="25"/>
        <v>25.698292367556153</v>
      </c>
      <c r="M33" s="39">
        <v>130</v>
      </c>
      <c r="N33" s="22">
        <v>24</v>
      </c>
      <c r="O33" s="22">
        <v>5</v>
      </c>
      <c r="P33" s="22">
        <v>1000</v>
      </c>
      <c r="Q33" s="22">
        <v>80</v>
      </c>
      <c r="R33" s="49">
        <f t="shared" si="26"/>
        <v>1.499200484554815</v>
      </c>
      <c r="S33" s="50">
        <f t="shared" si="27"/>
        <v>1851803805.929755</v>
      </c>
      <c r="T33" s="39">
        <v>21.5</v>
      </c>
      <c r="U33" s="54">
        <f t="shared" si="28"/>
        <v>2.9870765732622497</v>
      </c>
      <c r="V33" s="54">
        <f t="shared" si="29"/>
        <v>3.2534883497424376</v>
      </c>
      <c r="W33" s="54">
        <f t="shared" si="30"/>
        <v>0.918115035973226</v>
      </c>
      <c r="X33" s="55">
        <f t="shared" si="31"/>
        <v>82.65788247021042</v>
      </c>
      <c r="Y33" s="42">
        <v>22</v>
      </c>
      <c r="Z33" s="43">
        <v>1.5</v>
      </c>
      <c r="AA33" s="43">
        <v>3</v>
      </c>
      <c r="AB33" s="158">
        <f t="shared" si="11"/>
        <v>1.5007999418224132</v>
      </c>
      <c r="AC33" s="59">
        <f t="shared" si="12"/>
        <v>15.904299375</v>
      </c>
      <c r="AD33" s="59">
        <f t="shared" si="32"/>
        <v>7.076118778014803</v>
      </c>
      <c r="AE33" s="60">
        <f t="shared" si="33"/>
        <v>0.8385460702261816</v>
      </c>
      <c r="AF33" s="61">
        <f t="shared" si="34"/>
        <v>7.8112819563117775</v>
      </c>
      <c r="AG33" s="62">
        <f t="shared" si="35"/>
        <v>0.1389912700722214</v>
      </c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</row>
    <row r="34" spans="1:65" s="22" customFormat="1" ht="12.75">
      <c r="A34" s="38" t="s">
        <v>64</v>
      </c>
      <c r="B34" s="39">
        <v>24</v>
      </c>
      <c r="C34" s="39">
        <v>87.6</v>
      </c>
      <c r="D34" s="39">
        <v>10</v>
      </c>
      <c r="E34" s="39">
        <v>25.3</v>
      </c>
      <c r="F34" s="39" t="s">
        <v>67</v>
      </c>
      <c r="G34" s="39">
        <v>-40</v>
      </c>
      <c r="H34" s="49">
        <f t="shared" si="36"/>
        <v>1.4744226754575407</v>
      </c>
      <c r="I34" s="40">
        <v>3.5</v>
      </c>
      <c r="J34" s="41">
        <v>1</v>
      </c>
      <c r="K34" s="22">
        <v>600</v>
      </c>
      <c r="L34" s="46">
        <f t="shared" si="25"/>
        <v>31.39412533061758</v>
      </c>
      <c r="M34" s="39">
        <v>130</v>
      </c>
      <c r="N34" s="22">
        <v>24</v>
      </c>
      <c r="O34" s="22">
        <v>5</v>
      </c>
      <c r="P34" s="22">
        <v>1000</v>
      </c>
      <c r="Q34" s="22">
        <v>80</v>
      </c>
      <c r="R34" s="49">
        <f t="shared" si="26"/>
        <v>1.499200484554815</v>
      </c>
      <c r="S34" s="50">
        <f t="shared" si="27"/>
        <v>1839206501.1275115</v>
      </c>
      <c r="T34" s="39">
        <v>21.5</v>
      </c>
      <c r="U34" s="54">
        <f t="shared" si="28"/>
        <v>2.966756324464547</v>
      </c>
      <c r="V34" s="54">
        <f t="shared" si="29"/>
        <v>3.3880199460238445</v>
      </c>
      <c r="W34" s="54">
        <f t="shared" si="30"/>
        <v>0.8756608201041763</v>
      </c>
      <c r="X34" s="55">
        <f t="shared" si="31"/>
        <v>84.34952214832087</v>
      </c>
      <c r="Y34" s="42">
        <v>22</v>
      </c>
      <c r="Z34" s="43">
        <v>1.5</v>
      </c>
      <c r="AA34" s="43">
        <v>3</v>
      </c>
      <c r="AB34" s="158">
        <f t="shared" si="11"/>
        <v>1.5007999418224132</v>
      </c>
      <c r="AC34" s="59">
        <f t="shared" si="12"/>
        <v>15.904299375</v>
      </c>
      <c r="AD34" s="59">
        <f t="shared" si="32"/>
        <v>7.076118778014803</v>
      </c>
      <c r="AE34" s="60">
        <f t="shared" si="33"/>
        <v>0.8328416751906292</v>
      </c>
      <c r="AF34" s="61">
        <f t="shared" si="34"/>
        <v>7.610778622835171</v>
      </c>
      <c r="AG34" s="62">
        <f t="shared" si="35"/>
        <v>0.14265294706411452</v>
      </c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</row>
    <row r="35" spans="1:65" s="22" customFormat="1" ht="12.75">
      <c r="A35" s="38" t="s">
        <v>64</v>
      </c>
      <c r="B35" s="39">
        <v>24</v>
      </c>
      <c r="C35" s="39">
        <v>74</v>
      </c>
      <c r="D35" s="39">
        <v>10</v>
      </c>
      <c r="E35" s="39">
        <v>13</v>
      </c>
      <c r="F35" s="39" t="s">
        <v>68</v>
      </c>
      <c r="G35" s="39">
        <v>-40</v>
      </c>
      <c r="H35" s="49">
        <f t="shared" si="36"/>
        <v>0.7576084893655347</v>
      </c>
      <c r="I35" s="40">
        <v>3.5</v>
      </c>
      <c r="J35" s="41">
        <v>1</v>
      </c>
      <c r="K35" s="22">
        <v>600</v>
      </c>
      <c r="L35" s="46">
        <f t="shared" si="25"/>
        <v>23.56910252044657</v>
      </c>
      <c r="M35" s="39">
        <v>130</v>
      </c>
      <c r="N35" s="22">
        <v>24</v>
      </c>
      <c r="O35" s="22">
        <v>5</v>
      </c>
      <c r="P35" s="22">
        <v>1000</v>
      </c>
      <c r="Q35" s="22">
        <v>80</v>
      </c>
      <c r="R35" s="49">
        <f t="shared" si="26"/>
        <v>1.499200484554815</v>
      </c>
      <c r="S35" s="50">
        <f t="shared" si="27"/>
        <v>1553667592.2766652</v>
      </c>
      <c r="T35" s="39">
        <v>21.5</v>
      </c>
      <c r="U35" s="54">
        <f t="shared" si="28"/>
        <v>2.5061640183832927</v>
      </c>
      <c r="V35" s="54">
        <f t="shared" si="29"/>
        <v>2.7226235867734454</v>
      </c>
      <c r="W35" s="54">
        <f t="shared" si="30"/>
        <v>0.9204959622616519</v>
      </c>
      <c r="X35" s="55">
        <f t="shared" si="31"/>
        <v>75.61421514652014</v>
      </c>
      <c r="Y35" s="42">
        <v>22</v>
      </c>
      <c r="Z35" s="43">
        <v>1.5</v>
      </c>
      <c r="AA35" s="43">
        <v>3</v>
      </c>
      <c r="AB35" s="158">
        <f t="shared" si="11"/>
        <v>1.5007999418224132</v>
      </c>
      <c r="AC35" s="59">
        <f t="shared" si="12"/>
        <v>15.904299375</v>
      </c>
      <c r="AD35" s="59">
        <f t="shared" si="32"/>
        <v>7.076118778014803</v>
      </c>
      <c r="AE35" s="60">
        <f t="shared" si="33"/>
        <v>0.7035420543847782</v>
      </c>
      <c r="AF35" s="61">
        <f t="shared" si="34"/>
        <v>7.154060125287202</v>
      </c>
      <c r="AG35" s="62">
        <f t="shared" si="35"/>
        <v>0.151759976990187</v>
      </c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</row>
    <row r="36" spans="1:65" s="22" customFormat="1" ht="12.75">
      <c r="A36" s="38" t="s">
        <v>64</v>
      </c>
      <c r="B36" s="39">
        <v>24</v>
      </c>
      <c r="C36" s="39">
        <v>90.6</v>
      </c>
      <c r="D36" s="39">
        <v>10</v>
      </c>
      <c r="E36" s="39">
        <v>36.4</v>
      </c>
      <c r="F36" s="39" t="s">
        <v>69</v>
      </c>
      <c r="G36" s="39">
        <v>-40</v>
      </c>
      <c r="H36" s="49">
        <f t="shared" si="36"/>
        <v>2.121303770223497</v>
      </c>
      <c r="I36" s="40">
        <v>3.5</v>
      </c>
      <c r="J36" s="41">
        <v>1</v>
      </c>
      <c r="K36" s="22">
        <v>600</v>
      </c>
      <c r="L36" s="46">
        <f t="shared" si="25"/>
        <v>37.063725691491115</v>
      </c>
      <c r="M36" s="39">
        <v>130</v>
      </c>
      <c r="N36" s="22">
        <v>24</v>
      </c>
      <c r="O36" s="22">
        <v>5</v>
      </c>
      <c r="P36" s="22">
        <v>1000</v>
      </c>
      <c r="Q36" s="22">
        <v>80</v>
      </c>
      <c r="R36" s="49">
        <f t="shared" si="26"/>
        <v>1.499200484554815</v>
      </c>
      <c r="S36" s="50">
        <f t="shared" si="27"/>
        <v>1902193025.1387277</v>
      </c>
      <c r="T36" s="39">
        <v>21.5</v>
      </c>
      <c r="U36" s="54">
        <f t="shared" si="28"/>
        <v>3.0683575684530586</v>
      </c>
      <c r="V36" s="54">
        <f t="shared" si="29"/>
        <v>3.674444359945486</v>
      </c>
      <c r="W36" s="54">
        <f t="shared" si="30"/>
        <v>0.8350534850658565</v>
      </c>
      <c r="X36" s="55">
        <f t="shared" si="31"/>
        <v>87.84266136613532</v>
      </c>
      <c r="Y36" s="42">
        <v>22</v>
      </c>
      <c r="Z36" s="43">
        <v>1.5</v>
      </c>
      <c r="AA36" s="43">
        <v>3</v>
      </c>
      <c r="AB36" s="158">
        <f t="shared" si="11"/>
        <v>1.5007999418224132</v>
      </c>
      <c r="AC36" s="59">
        <f t="shared" si="12"/>
        <v>15.904299375</v>
      </c>
      <c r="AD36" s="59">
        <f t="shared" si="32"/>
        <v>7.076118778014803</v>
      </c>
      <c r="AE36" s="60">
        <f t="shared" si="33"/>
        <v>0.8613636503683905</v>
      </c>
      <c r="AF36" s="61">
        <f t="shared" si="34"/>
        <v>7.5682155288173405</v>
      </c>
      <c r="AG36" s="62">
        <f t="shared" si="35"/>
        <v>0.1434552168692874</v>
      </c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</row>
    <row r="37" spans="1:65" s="22" customFormat="1" ht="12.75">
      <c r="A37" s="38" t="s">
        <v>64</v>
      </c>
      <c r="B37" s="39">
        <v>24</v>
      </c>
      <c r="C37" s="39">
        <v>84.3</v>
      </c>
      <c r="D37" s="39">
        <v>10</v>
      </c>
      <c r="E37" s="39">
        <v>29.2</v>
      </c>
      <c r="F37" s="39" t="s">
        <v>70</v>
      </c>
      <c r="G37" s="39">
        <v>-40</v>
      </c>
      <c r="H37" s="49">
        <f t="shared" si="36"/>
        <v>1.7017052222672011</v>
      </c>
      <c r="I37" s="40">
        <v>3.5</v>
      </c>
      <c r="J37" s="41">
        <v>1</v>
      </c>
      <c r="K37" s="22">
        <v>600</v>
      </c>
      <c r="L37" s="46">
        <f t="shared" si="25"/>
        <v>33.495680816492154</v>
      </c>
      <c r="M37" s="39">
        <v>130</v>
      </c>
      <c r="N37" s="22">
        <v>24</v>
      </c>
      <c r="O37" s="22">
        <v>5</v>
      </c>
      <c r="P37" s="22">
        <v>1000</v>
      </c>
      <c r="Q37" s="22">
        <v>80</v>
      </c>
      <c r="R37" s="49">
        <f t="shared" si="26"/>
        <v>1.499200484554815</v>
      </c>
      <c r="S37" s="50">
        <f t="shared" si="27"/>
        <v>1769921324.715174</v>
      </c>
      <c r="T37" s="39">
        <v>21.5</v>
      </c>
      <c r="U37" s="54">
        <f t="shared" si="28"/>
        <v>2.854994956077184</v>
      </c>
      <c r="V37" s="54">
        <f t="shared" si="29"/>
        <v>3.3411964481535272</v>
      </c>
      <c r="W37" s="54">
        <f t="shared" si="30"/>
        <v>0.8544828178705156</v>
      </c>
      <c r="X37" s="55">
        <f t="shared" si="31"/>
        <v>83.76462583407394</v>
      </c>
      <c r="Y37" s="42">
        <v>22</v>
      </c>
      <c r="Z37" s="43">
        <v>1.5</v>
      </c>
      <c r="AA37" s="43">
        <v>3</v>
      </c>
      <c r="AB37" s="158">
        <f t="shared" si="11"/>
        <v>1.5007999418224132</v>
      </c>
      <c r="AC37" s="59">
        <f t="shared" si="12"/>
        <v>15.904299375</v>
      </c>
      <c r="AD37" s="59">
        <f t="shared" si="32"/>
        <v>7.076118778014803</v>
      </c>
      <c r="AE37" s="60">
        <f t="shared" si="33"/>
        <v>0.801467502495092</v>
      </c>
      <c r="AF37" s="61">
        <f t="shared" si="34"/>
        <v>7.377468199515477</v>
      </c>
      <c r="AG37" s="62">
        <f t="shared" si="35"/>
        <v>0.14716430767824992</v>
      </c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</row>
    <row r="38" spans="1:65" s="22" customFormat="1" ht="12.75">
      <c r="A38" s="38" t="s">
        <v>71</v>
      </c>
      <c r="B38" s="39">
        <v>24</v>
      </c>
      <c r="C38" s="39">
        <v>75</v>
      </c>
      <c r="D38" s="39">
        <v>18</v>
      </c>
      <c r="E38" s="39">
        <v>80</v>
      </c>
      <c r="F38" s="39">
        <v>6.25</v>
      </c>
      <c r="G38" s="39">
        <v>-40</v>
      </c>
      <c r="H38" s="49">
        <f>1300*(122*(G38+273)*(G38+273)*(G38+273)*EXP(-6400/(G38+273)))</f>
        <v>2.361849007614377</v>
      </c>
      <c r="I38" s="40">
        <v>4.3</v>
      </c>
      <c r="J38" s="41">
        <v>1</v>
      </c>
      <c r="K38" s="22">
        <v>60</v>
      </c>
      <c r="L38" s="46">
        <f t="shared" si="25"/>
        <v>21.61407968100568</v>
      </c>
      <c r="M38" s="39">
        <v>125</v>
      </c>
      <c r="N38" s="22">
        <v>24</v>
      </c>
      <c r="O38" s="22">
        <v>5</v>
      </c>
      <c r="P38" s="22">
        <v>800</v>
      </c>
      <c r="Q38" s="22">
        <v>80</v>
      </c>
      <c r="R38" s="49">
        <f t="shared" si="26"/>
        <v>1.5591685039370078</v>
      </c>
      <c r="S38" s="50">
        <f t="shared" si="27"/>
        <v>1259730480.2243233</v>
      </c>
      <c r="T38" s="39">
        <v>21.5</v>
      </c>
      <c r="U38" s="54">
        <f t="shared" si="28"/>
        <v>1.7889379964786547</v>
      </c>
      <c r="V38" s="54">
        <f t="shared" si="29"/>
        <v>2.338205207551766</v>
      </c>
      <c r="W38" s="54">
        <f t="shared" si="30"/>
        <v>0.7650902455870308</v>
      </c>
      <c r="X38" s="55">
        <f t="shared" si="31"/>
        <v>24.56128953349876</v>
      </c>
      <c r="Y38" s="42">
        <v>20.51</v>
      </c>
      <c r="Z38" s="43">
        <v>3</v>
      </c>
      <c r="AA38" s="43">
        <v>3</v>
      </c>
      <c r="AB38" s="158">
        <f t="shared" si="11"/>
        <v>2.8861537342738712</v>
      </c>
      <c r="AC38" s="59">
        <f t="shared" si="12"/>
        <v>63.6171975</v>
      </c>
      <c r="AD38" s="59">
        <f t="shared" si="32"/>
        <v>26.16907832106066</v>
      </c>
      <c r="AE38" s="60">
        <f t="shared" si="33"/>
        <v>1.8315095267289376</v>
      </c>
      <c r="AF38" s="61">
        <f t="shared" si="34"/>
        <v>3.0020100949668795</v>
      </c>
      <c r="AG38" s="62">
        <f t="shared" si="35"/>
        <v>0.36165767790730174</v>
      </c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</row>
    <row r="39" spans="1:65" s="22" customFormat="1" ht="12.75">
      <c r="A39" s="38" t="s">
        <v>71</v>
      </c>
      <c r="B39" s="39">
        <v>12</v>
      </c>
      <c r="C39" s="39">
        <v>55</v>
      </c>
      <c r="D39" s="39">
        <v>23</v>
      </c>
      <c r="E39" s="39">
        <v>50</v>
      </c>
      <c r="F39" s="39">
        <v>6.25</v>
      </c>
      <c r="G39" s="39">
        <v>-30</v>
      </c>
      <c r="H39" s="49">
        <f>1300*(122*(G39+273)*(G39+273)*(G39+273)*EXP(-6400/(G39+273)))</f>
        <v>8.29685359949535</v>
      </c>
      <c r="I39" s="40">
        <v>4.3</v>
      </c>
      <c r="J39" s="41">
        <v>1</v>
      </c>
      <c r="K39" s="22">
        <v>60</v>
      </c>
      <c r="L39" s="46">
        <f t="shared" si="25"/>
        <v>32.06662932036544</v>
      </c>
      <c r="M39" s="39">
        <v>125</v>
      </c>
      <c r="N39" s="22">
        <v>24</v>
      </c>
      <c r="O39" s="22">
        <v>5</v>
      </c>
      <c r="P39" s="22">
        <v>800</v>
      </c>
      <c r="Q39" s="22">
        <v>80</v>
      </c>
      <c r="R39" s="49">
        <f t="shared" si="26"/>
        <v>0.7795842519685039</v>
      </c>
      <c r="S39" s="50">
        <f t="shared" si="27"/>
        <v>923802352.1645037</v>
      </c>
      <c r="T39" s="39">
        <v>19.5</v>
      </c>
      <c r="U39" s="54">
        <f t="shared" si="28"/>
        <v>2.069363207446129</v>
      </c>
      <c r="V39" s="54">
        <f t="shared" si="29"/>
        <v>3.9988640445380708</v>
      </c>
      <c r="W39" s="54">
        <f t="shared" si="30"/>
        <v>0.5174877626241408</v>
      </c>
      <c r="X39" s="55">
        <f t="shared" si="31"/>
        <v>32.12019494789566</v>
      </c>
      <c r="Y39" s="42">
        <v>19.81</v>
      </c>
      <c r="Z39" s="43">
        <v>3</v>
      </c>
      <c r="AA39" s="43">
        <v>3</v>
      </c>
      <c r="AB39" s="158">
        <f t="shared" si="11"/>
        <v>5.7723074685477425</v>
      </c>
      <c r="AC39" s="59">
        <f t="shared" si="12"/>
        <v>63.6171975</v>
      </c>
      <c r="AD39" s="59">
        <f t="shared" si="32"/>
        <v>104.67631328424264</v>
      </c>
      <c r="AE39" s="60">
        <f t="shared" si="33"/>
        <v>2.5592376023554735</v>
      </c>
      <c r="AF39" s="61">
        <f t="shared" si="34"/>
        <v>1.6295499635677027</v>
      </c>
      <c r="AG39" s="62">
        <f t="shared" si="35"/>
        <v>0.6662575706626332</v>
      </c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</row>
    <row r="40" spans="1:65" s="22" customFormat="1" ht="12.75">
      <c r="A40" s="38" t="s">
        <v>71</v>
      </c>
      <c r="B40" s="39">
        <v>24</v>
      </c>
      <c r="C40" s="39">
        <v>75</v>
      </c>
      <c r="D40" s="39">
        <v>18</v>
      </c>
      <c r="E40" s="39">
        <v>80</v>
      </c>
      <c r="F40" s="39">
        <v>6.25</v>
      </c>
      <c r="G40" s="39">
        <v>-40</v>
      </c>
      <c r="H40" s="49">
        <f aca="true" t="shared" si="37" ref="H40:H45">1300*(122*(G40+273)*(G40+273)*(G40+273)*EXP(-6400/(G40+273)))</f>
        <v>2.361849007614377</v>
      </c>
      <c r="I40" s="40">
        <v>4.3</v>
      </c>
      <c r="J40" s="41">
        <v>1</v>
      </c>
      <c r="K40" s="22">
        <v>100</v>
      </c>
      <c r="L40" s="46">
        <f t="shared" si="25"/>
        <v>23.698995775379124</v>
      </c>
      <c r="M40" s="39">
        <v>125</v>
      </c>
      <c r="N40" s="22">
        <v>24</v>
      </c>
      <c r="O40" s="22">
        <v>5</v>
      </c>
      <c r="P40" s="22">
        <v>800</v>
      </c>
      <c r="Q40" s="22">
        <v>80</v>
      </c>
      <c r="R40" s="49">
        <f t="shared" si="26"/>
        <v>1.5591685039370078</v>
      </c>
      <c r="S40" s="50">
        <f t="shared" si="27"/>
        <v>1259730480.2243233</v>
      </c>
      <c r="T40" s="39">
        <v>21.5</v>
      </c>
      <c r="U40" s="54">
        <f t="shared" si="28"/>
        <v>1.7889379964786547</v>
      </c>
      <c r="V40" s="54">
        <f t="shared" si="29"/>
        <v>2.338205207551766</v>
      </c>
      <c r="W40" s="54">
        <f t="shared" si="30"/>
        <v>0.7650902455870308</v>
      </c>
      <c r="X40" s="55">
        <f t="shared" si="31"/>
        <v>31.70848844153974</v>
      </c>
      <c r="Y40" s="42">
        <v>20.8</v>
      </c>
      <c r="Z40" s="43">
        <v>3.2</v>
      </c>
      <c r="AA40" s="43">
        <v>3</v>
      </c>
      <c r="AB40" s="158">
        <f t="shared" si="11"/>
        <v>3.078563983225463</v>
      </c>
      <c r="AC40" s="59">
        <f t="shared" si="12"/>
        <v>72.3822336</v>
      </c>
      <c r="AD40" s="59">
        <f t="shared" si="32"/>
        <v>29.77459577862902</v>
      </c>
      <c r="AE40" s="60">
        <f t="shared" si="33"/>
        <v>1.402197479189316</v>
      </c>
      <c r="AF40" s="61">
        <f t="shared" si="34"/>
        <v>3.006112013110397</v>
      </c>
      <c r="AG40" s="62">
        <f t="shared" si="35"/>
        <v>0.3611641865855278</v>
      </c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</row>
    <row r="41" spans="1:65" s="22" customFormat="1" ht="12.75">
      <c r="A41" s="38" t="s">
        <v>71</v>
      </c>
      <c r="B41" s="39">
        <v>24</v>
      </c>
      <c r="C41" s="39">
        <v>75</v>
      </c>
      <c r="D41" s="39">
        <v>18</v>
      </c>
      <c r="E41" s="39">
        <v>80</v>
      </c>
      <c r="F41" s="39">
        <v>6.25</v>
      </c>
      <c r="G41" s="39">
        <v>-40</v>
      </c>
      <c r="H41" s="49">
        <f t="shared" si="37"/>
        <v>2.361849007614377</v>
      </c>
      <c r="I41" s="40">
        <v>4.3</v>
      </c>
      <c r="J41" s="41">
        <v>1</v>
      </c>
      <c r="K41" s="22">
        <v>200</v>
      </c>
      <c r="L41" s="46">
        <f t="shared" si="25"/>
        <v>28.24583688834295</v>
      </c>
      <c r="M41" s="39">
        <v>125</v>
      </c>
      <c r="N41" s="22">
        <v>24</v>
      </c>
      <c r="O41" s="22">
        <v>5</v>
      </c>
      <c r="P41" s="22">
        <v>800</v>
      </c>
      <c r="Q41" s="22">
        <v>80</v>
      </c>
      <c r="R41" s="49">
        <f t="shared" si="26"/>
        <v>1.5591685039370078</v>
      </c>
      <c r="S41" s="50">
        <f t="shared" si="27"/>
        <v>1259730480.2243233</v>
      </c>
      <c r="T41" s="39">
        <v>21.5</v>
      </c>
      <c r="U41" s="54">
        <f t="shared" si="28"/>
        <v>1.7889379964786547</v>
      </c>
      <c r="V41" s="54">
        <f t="shared" si="29"/>
        <v>2.338205207551766</v>
      </c>
      <c r="W41" s="54">
        <f t="shared" si="30"/>
        <v>0.7650902455870308</v>
      </c>
      <c r="X41" s="55">
        <f t="shared" si="31"/>
        <v>44.84257439637602</v>
      </c>
      <c r="Y41" s="42">
        <v>21.25</v>
      </c>
      <c r="Z41" s="43">
        <v>3.2</v>
      </c>
      <c r="AA41" s="43">
        <v>3</v>
      </c>
      <c r="AB41" s="158">
        <f t="shared" si="11"/>
        <v>3.078563983225463</v>
      </c>
      <c r="AC41" s="59">
        <f t="shared" si="12"/>
        <v>72.3822336</v>
      </c>
      <c r="AD41" s="59">
        <f t="shared" si="32"/>
        <v>29.77459577862902</v>
      </c>
      <c r="AE41" s="60">
        <f t="shared" si="33"/>
        <v>0.9264226873131501</v>
      </c>
      <c r="AF41" s="61">
        <f t="shared" si="34"/>
        <v>3.003628213706821</v>
      </c>
      <c r="AG41" s="62">
        <f t="shared" si="35"/>
        <v>0.3614628451835329</v>
      </c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</row>
    <row r="42" spans="1:65" s="22" customFormat="1" ht="12.75">
      <c r="A42" s="38" t="s">
        <v>71</v>
      </c>
      <c r="B42" s="39">
        <v>24</v>
      </c>
      <c r="C42" s="39">
        <v>75</v>
      </c>
      <c r="D42" s="39">
        <v>18</v>
      </c>
      <c r="E42" s="39">
        <v>80</v>
      </c>
      <c r="F42" s="39">
        <v>6.25</v>
      </c>
      <c r="G42" s="39">
        <v>-40</v>
      </c>
      <c r="H42" s="49">
        <f t="shared" si="37"/>
        <v>2.361849007614377</v>
      </c>
      <c r="I42" s="40">
        <v>4.3</v>
      </c>
      <c r="J42" s="41">
        <v>1</v>
      </c>
      <c r="K42" s="22">
        <v>400</v>
      </c>
      <c r="L42" s="46">
        <f t="shared" si="25"/>
        <v>35.63982467753946</v>
      </c>
      <c r="M42" s="39">
        <v>125</v>
      </c>
      <c r="N42" s="22">
        <v>24</v>
      </c>
      <c r="O42" s="22">
        <v>5</v>
      </c>
      <c r="P42" s="22">
        <v>800</v>
      </c>
      <c r="Q42" s="22">
        <v>80</v>
      </c>
      <c r="R42" s="49">
        <f t="shared" si="26"/>
        <v>1.5591685039370078</v>
      </c>
      <c r="S42" s="50">
        <f t="shared" si="27"/>
        <v>1259730480.2243233</v>
      </c>
      <c r="T42" s="39">
        <v>21.5</v>
      </c>
      <c r="U42" s="54">
        <f t="shared" si="28"/>
        <v>1.7889379964786547</v>
      </c>
      <c r="V42" s="54">
        <f t="shared" si="29"/>
        <v>2.338205207551766</v>
      </c>
      <c r="W42" s="54">
        <f t="shared" si="30"/>
        <v>0.7650902455870308</v>
      </c>
      <c r="X42" s="55">
        <f t="shared" si="31"/>
        <v>63.41697688307948</v>
      </c>
      <c r="Y42" s="42">
        <v>21.67</v>
      </c>
      <c r="Z42" s="43">
        <v>3.2</v>
      </c>
      <c r="AA42" s="43">
        <v>3</v>
      </c>
      <c r="AB42" s="158">
        <f t="shared" si="11"/>
        <v>3.078563983225463</v>
      </c>
      <c r="AC42" s="59">
        <f t="shared" si="12"/>
        <v>72.3822336</v>
      </c>
      <c r="AD42" s="59">
        <f t="shared" si="32"/>
        <v>29.77459577862902</v>
      </c>
      <c r="AE42" s="60">
        <f t="shared" si="33"/>
        <v>0.6292296545620655</v>
      </c>
      <c r="AF42" s="61">
        <f t="shared" si="34"/>
        <v>2.9957338415930157</v>
      </c>
      <c r="AG42" s="62">
        <f t="shared" si="35"/>
        <v>0.36241537379791616</v>
      </c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</row>
    <row r="43" spans="1:65" s="22" customFormat="1" ht="12.75">
      <c r="A43" s="38" t="s">
        <v>71</v>
      </c>
      <c r="B43" s="39">
        <v>24</v>
      </c>
      <c r="C43" s="39">
        <v>75</v>
      </c>
      <c r="D43" s="39">
        <v>18</v>
      </c>
      <c r="E43" s="39">
        <v>80</v>
      </c>
      <c r="F43" s="39">
        <v>6.25</v>
      </c>
      <c r="G43" s="39">
        <v>-40</v>
      </c>
      <c r="H43" s="49">
        <f t="shared" si="37"/>
        <v>2.361849007614377</v>
      </c>
      <c r="I43" s="40">
        <v>4.3</v>
      </c>
      <c r="J43" s="41">
        <v>1</v>
      </c>
      <c r="K43" s="22">
        <v>800</v>
      </c>
      <c r="L43" s="46">
        <f t="shared" si="25"/>
        <v>47.063114071335114</v>
      </c>
      <c r="M43" s="39">
        <v>125</v>
      </c>
      <c r="N43" s="22">
        <v>24</v>
      </c>
      <c r="O43" s="22">
        <v>5</v>
      </c>
      <c r="P43" s="22">
        <v>800</v>
      </c>
      <c r="Q43" s="22">
        <v>80</v>
      </c>
      <c r="R43" s="49">
        <f t="shared" si="26"/>
        <v>1.5591685039370078</v>
      </c>
      <c r="S43" s="50">
        <f t="shared" si="27"/>
        <v>1259730480.2243233</v>
      </c>
      <c r="T43" s="39">
        <v>21.5</v>
      </c>
      <c r="U43" s="54">
        <f t="shared" si="28"/>
        <v>1.7889379964786547</v>
      </c>
      <c r="V43" s="54">
        <f t="shared" si="29"/>
        <v>2.338205207551766</v>
      </c>
      <c r="W43" s="54">
        <f t="shared" si="30"/>
        <v>0.7650902455870308</v>
      </c>
      <c r="X43" s="55">
        <f t="shared" si="31"/>
        <v>89.68514879275205</v>
      </c>
      <c r="Y43" s="42">
        <v>22.07</v>
      </c>
      <c r="Z43" s="43">
        <v>3.2</v>
      </c>
      <c r="AA43" s="43">
        <v>3</v>
      </c>
      <c r="AB43" s="158">
        <f t="shared" si="11"/>
        <v>3.078563983225463</v>
      </c>
      <c r="AC43" s="59">
        <f t="shared" si="12"/>
        <v>72.3822336</v>
      </c>
      <c r="AD43" s="59">
        <f t="shared" si="32"/>
        <v>29.77459577862902</v>
      </c>
      <c r="AE43" s="60">
        <f t="shared" si="33"/>
        <v>0.4353205628466614</v>
      </c>
      <c r="AF43" s="61">
        <f t="shared" si="34"/>
        <v>2.990954732939797</v>
      </c>
      <c r="AG43" s="62">
        <f t="shared" si="35"/>
        <v>0.36299446061253826</v>
      </c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</row>
    <row r="44" spans="1:65" s="22" customFormat="1" ht="12.75">
      <c r="A44" s="38" t="s">
        <v>71</v>
      </c>
      <c r="B44" s="39">
        <v>24</v>
      </c>
      <c r="C44" s="39">
        <v>75</v>
      </c>
      <c r="D44" s="39">
        <v>18</v>
      </c>
      <c r="E44" s="39">
        <v>80</v>
      </c>
      <c r="F44" s="39">
        <v>6.25</v>
      </c>
      <c r="G44" s="39">
        <v>-40</v>
      </c>
      <c r="H44" s="49">
        <f t="shared" si="37"/>
        <v>2.361849007614377</v>
      </c>
      <c r="I44" s="40">
        <v>4.3</v>
      </c>
      <c r="J44" s="41">
        <v>1</v>
      </c>
      <c r="K44" s="22">
        <v>1600</v>
      </c>
      <c r="L44" s="46">
        <f t="shared" si="25"/>
        <v>64.06571557536061</v>
      </c>
      <c r="M44" s="39">
        <v>125</v>
      </c>
      <c r="N44" s="22">
        <v>24</v>
      </c>
      <c r="O44" s="22">
        <v>5</v>
      </c>
      <c r="P44" s="22">
        <v>800</v>
      </c>
      <c r="Q44" s="22">
        <v>80</v>
      </c>
      <c r="R44" s="49">
        <f t="shared" si="26"/>
        <v>1.5591685039370078</v>
      </c>
      <c r="S44" s="50">
        <f t="shared" si="27"/>
        <v>1259730480.2243233</v>
      </c>
      <c r="T44" s="39">
        <v>21.5</v>
      </c>
      <c r="U44" s="54">
        <f t="shared" si="28"/>
        <v>1.7889379964786547</v>
      </c>
      <c r="V44" s="54">
        <f t="shared" si="29"/>
        <v>2.338205207551766</v>
      </c>
      <c r="W44" s="54">
        <f t="shared" si="30"/>
        <v>0.7650902455870308</v>
      </c>
      <c r="X44" s="55">
        <f t="shared" si="31"/>
        <v>126.83395376615896</v>
      </c>
      <c r="Y44" s="42">
        <v>22.46</v>
      </c>
      <c r="Z44" s="43">
        <v>3.2</v>
      </c>
      <c r="AA44" s="43">
        <v>3</v>
      </c>
      <c r="AB44" s="158">
        <f t="shared" si="11"/>
        <v>3.078563983225463</v>
      </c>
      <c r="AC44" s="59">
        <f t="shared" si="12"/>
        <v>72.3822336</v>
      </c>
      <c r="AD44" s="59">
        <f t="shared" si="32"/>
        <v>29.77459577862902</v>
      </c>
      <c r="AE44" s="60">
        <f t="shared" si="33"/>
        <v>0.3039549231406508</v>
      </c>
      <c r="AF44" s="61">
        <f t="shared" si="34"/>
        <v>2.9851252698497497</v>
      </c>
      <c r="AG44" s="62">
        <f t="shared" si="35"/>
        <v>0.363703329627653</v>
      </c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</row>
    <row r="45" spans="1:65" s="22" customFormat="1" ht="12.75">
      <c r="A45" s="38" t="s">
        <v>71</v>
      </c>
      <c r="B45" s="39">
        <v>24</v>
      </c>
      <c r="C45" s="39">
        <v>75</v>
      </c>
      <c r="D45" s="39">
        <v>18</v>
      </c>
      <c r="E45" s="39">
        <v>80</v>
      </c>
      <c r="F45" s="39">
        <v>6.25</v>
      </c>
      <c r="G45" s="39">
        <v>-40</v>
      </c>
      <c r="H45" s="49">
        <f t="shared" si="37"/>
        <v>2.361849007614377</v>
      </c>
      <c r="I45" s="40">
        <v>4.3</v>
      </c>
      <c r="J45" s="41">
        <v>1</v>
      </c>
      <c r="K45" s="22">
        <v>3200</v>
      </c>
      <c r="L45" s="46">
        <f t="shared" si="25"/>
        <v>88.78836818168249</v>
      </c>
      <c r="M45" s="39">
        <v>125</v>
      </c>
      <c r="N45" s="22">
        <v>24</v>
      </c>
      <c r="O45" s="22">
        <v>5</v>
      </c>
      <c r="P45" s="22">
        <v>800</v>
      </c>
      <c r="Q45" s="22">
        <v>80</v>
      </c>
      <c r="R45" s="49">
        <f>B45*J45/((25.4*M45/206265)*1000)</f>
        <v>1.5591685039370078</v>
      </c>
      <c r="S45" s="50">
        <f>940*P45*Q45/100*C45/100*3.14159*(N45*N45-O45*O45)/4*2.54*2.54</f>
        <v>1259730480.2243233</v>
      </c>
      <c r="T45" s="39">
        <v>21.5</v>
      </c>
      <c r="U45" s="54">
        <f>(S45*(EXP(-0.4*LN(10)*T45))*R45*R45)/I45</f>
        <v>1.7889379964786547</v>
      </c>
      <c r="V45" s="54">
        <f>(S45*(EXP(-0.4*LN(10)*T45))*R45*R45+(J45*J45*H45))/I45</f>
        <v>2.338205207551766</v>
      </c>
      <c r="W45" s="54">
        <f>U45/V45</f>
        <v>0.7650902455870308</v>
      </c>
      <c r="X45" s="55">
        <f>SQRT(V45*K45*I45)</f>
        <v>179.3702975855041</v>
      </c>
      <c r="Y45" s="42">
        <v>22.82</v>
      </c>
      <c r="Z45" s="43">
        <v>3.2</v>
      </c>
      <c r="AA45" s="43">
        <v>3</v>
      </c>
      <c r="AB45" s="158">
        <f t="shared" si="11"/>
        <v>3.078563983225463</v>
      </c>
      <c r="AC45" s="59">
        <f t="shared" si="12"/>
        <v>72.3822336</v>
      </c>
      <c r="AD45" s="59">
        <f t="shared" si="32"/>
        <v>29.77459577862902</v>
      </c>
      <c r="AE45" s="60">
        <f>S45*EXP(-0.4*LN(10)*Y45)/I45</f>
        <v>0.21817710863418516</v>
      </c>
      <c r="AF45" s="61">
        <f t="shared" si="34"/>
        <v>3.047164851068668</v>
      </c>
      <c r="AG45" s="62">
        <f>1.0857/AF45</f>
        <v>0.3562984128079698</v>
      </c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</row>
    <row r="46" spans="1:65" s="22" customFormat="1" ht="12.75">
      <c r="A46" s="38" t="s">
        <v>71</v>
      </c>
      <c r="B46" s="39">
        <v>24</v>
      </c>
      <c r="C46" s="39">
        <v>75</v>
      </c>
      <c r="D46" s="39">
        <v>18</v>
      </c>
      <c r="E46" s="39">
        <v>80</v>
      </c>
      <c r="F46" s="39">
        <v>6.25</v>
      </c>
      <c r="G46" s="39">
        <v>-40</v>
      </c>
      <c r="H46" s="49">
        <f>1300*(122*(G46+273)*(G46+273)*(G46+273)*EXP(-6400/(G46+273)))</f>
        <v>2.361849007614377</v>
      </c>
      <c r="I46" s="40">
        <v>4.3</v>
      </c>
      <c r="J46" s="41">
        <v>1</v>
      </c>
      <c r="K46" s="22">
        <v>6400</v>
      </c>
      <c r="L46" s="46">
        <f>SQRT(K46*H46*J46*J46+D46*D46+(I46*I46-1)/12)</f>
        <v>124.2629918709992</v>
      </c>
      <c r="M46" s="39">
        <v>125</v>
      </c>
      <c r="N46" s="22">
        <v>24</v>
      </c>
      <c r="O46" s="22">
        <v>5</v>
      </c>
      <c r="P46" s="44">
        <v>800</v>
      </c>
      <c r="Q46" s="22">
        <v>80</v>
      </c>
      <c r="R46" s="49">
        <f>B46*J46/((25.4*M46/206265)*1000)</f>
        <v>1.5591685039370078</v>
      </c>
      <c r="S46" s="50">
        <f>940*P46*Q46/100*C46/100*3.14159*(N46*N46-O46*O46)/4*2.54*2.54</f>
        <v>1259730480.2243233</v>
      </c>
      <c r="T46" s="39">
        <v>21.5</v>
      </c>
      <c r="U46" s="54">
        <f>(S46*(EXP(-0.4*LN(10)*T46))*R46*R46)/I46</f>
        <v>1.7889379964786547</v>
      </c>
      <c r="V46" s="54">
        <f>(S46*(EXP(-0.4*LN(10)*T46))*R46*R46+(J46*J46*H46))/I46</f>
        <v>2.338205207551766</v>
      </c>
      <c r="W46" s="54">
        <f>U46/V46</f>
        <v>0.7650902455870308</v>
      </c>
      <c r="X46" s="55">
        <f>SQRT(V46*K46*I46)</f>
        <v>253.6679075323179</v>
      </c>
      <c r="Y46" s="42">
        <v>23.22</v>
      </c>
      <c r="Z46" s="43">
        <v>3.2</v>
      </c>
      <c r="AA46" s="43">
        <v>3</v>
      </c>
      <c r="AB46" s="158">
        <f t="shared" si="11"/>
        <v>3.078563983225463</v>
      </c>
      <c r="AC46" s="59">
        <f t="shared" si="12"/>
        <v>72.3822336</v>
      </c>
      <c r="AD46" s="59">
        <f>AC46/(R46*R46)</f>
        <v>29.77459577862902</v>
      </c>
      <c r="AE46" s="60">
        <f>S46*EXP(-0.4*LN(10)*Y46)/I46</f>
        <v>0.15094168089867482</v>
      </c>
      <c r="AF46" s="61">
        <f>SQRT((AE46*K46*I46)/(1+(MAX(1,AD46))*(V46*I46*K46+(I46*I46-1)/12+D46*D46)/(AE46*K46*I46)))</f>
        <v>2.990237614123324</v>
      </c>
      <c r="AG46" s="62">
        <f>1.0857/AF46</f>
        <v>0.36308151394794924</v>
      </c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</row>
    <row r="47" spans="1:65" s="22" customFormat="1" ht="12.75">
      <c r="A47" s="38" t="s">
        <v>71</v>
      </c>
      <c r="B47" s="39">
        <v>24</v>
      </c>
      <c r="C47" s="39">
        <v>75</v>
      </c>
      <c r="D47" s="39">
        <v>18</v>
      </c>
      <c r="E47" s="39">
        <v>80</v>
      </c>
      <c r="F47" s="39">
        <v>6.25</v>
      </c>
      <c r="G47" s="39">
        <v>-25</v>
      </c>
      <c r="H47" s="49">
        <f>1300*(122*(G47+273)*(G47+273)*(G47+273)*EXP(-6400/(G47+273)))</f>
        <v>14.998875232258143</v>
      </c>
      <c r="I47" s="40">
        <v>4.3</v>
      </c>
      <c r="J47" s="41">
        <v>1</v>
      </c>
      <c r="K47" s="22">
        <v>25</v>
      </c>
      <c r="L47" s="46">
        <f aca="true" t="shared" si="38" ref="L47:L54">SQRT(K47*H47*J47*J47+D47*D47+(I47*I47-1)/12)</f>
        <v>26.465626401172777</v>
      </c>
      <c r="M47" s="39">
        <v>125</v>
      </c>
      <c r="N47" s="22">
        <v>24</v>
      </c>
      <c r="O47" s="22">
        <v>5</v>
      </c>
      <c r="P47" s="22">
        <v>800</v>
      </c>
      <c r="Q47" s="22">
        <v>80</v>
      </c>
      <c r="R47" s="49">
        <f aca="true" t="shared" si="39" ref="R47:R53">B47*J47/((25.4*M47/206265)*1000)</f>
        <v>1.5591685039370078</v>
      </c>
      <c r="S47" s="50">
        <f aca="true" t="shared" si="40" ref="S47:S53">940*P47*Q47/100*C47/100*3.14159*(N47*N47-O47*O47)/4*2.54*2.54</f>
        <v>1259730480.2243233</v>
      </c>
      <c r="T47" s="39">
        <v>21.5</v>
      </c>
      <c r="U47" s="54">
        <f aca="true" t="shared" si="41" ref="U47:U53">(S47*(EXP(-0.4*LN(10)*T47))*R47*R47)/I47</f>
        <v>1.7889379964786547</v>
      </c>
      <c r="V47" s="54">
        <f aca="true" t="shared" si="42" ref="V47:V53">(S47*(EXP(-0.4*LN(10)*T47))*R47*R47+(J47*J47*H47))/I47</f>
        <v>5.277048515608456</v>
      </c>
      <c r="W47" s="54">
        <f aca="true" t="shared" si="43" ref="W47:W53">U47/V47</f>
        <v>0.33900351516332156</v>
      </c>
      <c r="X47" s="55">
        <f aca="true" t="shared" si="44" ref="X47:X53">SQRT(V47*K47*I47)</f>
        <v>23.81769752574562</v>
      </c>
      <c r="Y47" s="42">
        <v>19.51</v>
      </c>
      <c r="Z47" s="43">
        <v>3.2</v>
      </c>
      <c r="AA47" s="43">
        <v>3</v>
      </c>
      <c r="AB47" s="158">
        <f t="shared" si="11"/>
        <v>3.078563983225463</v>
      </c>
      <c r="AC47" s="59">
        <f t="shared" si="12"/>
        <v>72.3822336</v>
      </c>
      <c r="AD47" s="59">
        <f>AC47/(R47*R47)</f>
        <v>29.77459577862902</v>
      </c>
      <c r="AE47" s="60">
        <f aca="true" t="shared" si="45" ref="AE47:AE53">S47*EXP(-0.4*LN(10)*Y47)/I47</f>
        <v>4.60054392937095</v>
      </c>
      <c r="AF47" s="61">
        <f>SQRT((AE47*K47*I47)/(1+(MAX(1,AD47))*(V47*I47*K47+(I47*I47-1)/12+D47*D47)/(AE47*K47*I47)))</f>
        <v>3.005585609025757</v>
      </c>
      <c r="AG47" s="62">
        <f aca="true" t="shared" si="46" ref="AG47:AG53">1.0857/AF47</f>
        <v>0.36122744158065206</v>
      </c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</row>
    <row r="48" spans="1:65" s="22" customFormat="1" ht="12.75">
      <c r="A48" s="38" t="s">
        <v>71</v>
      </c>
      <c r="B48" s="39">
        <v>24</v>
      </c>
      <c r="C48" s="39">
        <v>75</v>
      </c>
      <c r="D48" s="39">
        <v>18</v>
      </c>
      <c r="E48" s="39">
        <v>80</v>
      </c>
      <c r="F48" s="39">
        <v>6.25</v>
      </c>
      <c r="G48" s="39">
        <v>-25</v>
      </c>
      <c r="H48" s="49">
        <f aca="true" t="shared" si="47" ref="H48:H55">1300*(122*(G48+273)*(G48+273)*(G48+273)*EXP(-6400/(G48+273)))</f>
        <v>14.998875232258143</v>
      </c>
      <c r="I48" s="40">
        <v>4.3</v>
      </c>
      <c r="J48" s="41">
        <v>1</v>
      </c>
      <c r="K48" s="22">
        <v>50</v>
      </c>
      <c r="L48" s="46">
        <f t="shared" si="38"/>
        <v>32.793311232824706</v>
      </c>
      <c r="M48" s="39">
        <v>125</v>
      </c>
      <c r="N48" s="22">
        <v>24</v>
      </c>
      <c r="O48" s="22">
        <v>5</v>
      </c>
      <c r="P48" s="22">
        <v>800</v>
      </c>
      <c r="Q48" s="22">
        <v>80</v>
      </c>
      <c r="R48" s="49">
        <f t="shared" si="39"/>
        <v>1.5591685039370078</v>
      </c>
      <c r="S48" s="50">
        <f t="shared" si="40"/>
        <v>1259730480.2243233</v>
      </c>
      <c r="T48" s="39">
        <v>21.5</v>
      </c>
      <c r="U48" s="54">
        <f t="shared" si="41"/>
        <v>1.7889379964786547</v>
      </c>
      <c r="V48" s="54">
        <f t="shared" si="42"/>
        <v>5.277048515608456</v>
      </c>
      <c r="W48" s="54">
        <f t="shared" si="43"/>
        <v>0.33900351516332156</v>
      </c>
      <c r="X48" s="55">
        <f t="shared" si="44"/>
        <v>33.68331086540956</v>
      </c>
      <c r="Y48" s="42">
        <v>20</v>
      </c>
      <c r="Z48" s="43">
        <v>3.2</v>
      </c>
      <c r="AA48" s="43">
        <v>3</v>
      </c>
      <c r="AB48" s="158">
        <f t="shared" si="11"/>
        <v>3.078563983225463</v>
      </c>
      <c r="AC48" s="59">
        <f t="shared" si="12"/>
        <v>72.3822336</v>
      </c>
      <c r="AD48" s="59">
        <f aca="true" t="shared" si="48" ref="AD48:AD54">AC48/(R48*R48)</f>
        <v>29.77459577862902</v>
      </c>
      <c r="AE48" s="60">
        <f t="shared" si="45"/>
        <v>2.929605767963537</v>
      </c>
      <c r="AF48" s="61">
        <f aca="true" t="shared" si="49" ref="AF48:AF54">SQRT((AE48*K48*I48)/(1+(MAX(1,AD48))*(V48*I48*K48+(I48*I48-1)/12+D48*D48)/(AE48*K48*I48)))</f>
        <v>2.9993087118980246</v>
      </c>
      <c r="AG48" s="62">
        <f t="shared" si="46"/>
        <v>0.36198341160851916</v>
      </c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</row>
    <row r="49" spans="1:65" s="22" customFormat="1" ht="12.75">
      <c r="A49" s="38" t="s">
        <v>71</v>
      </c>
      <c r="B49" s="39">
        <v>24</v>
      </c>
      <c r="C49" s="39">
        <v>75</v>
      </c>
      <c r="D49" s="39">
        <v>18</v>
      </c>
      <c r="E49" s="39">
        <v>80</v>
      </c>
      <c r="F49" s="39">
        <v>6.25</v>
      </c>
      <c r="G49" s="39">
        <v>-25</v>
      </c>
      <c r="H49" s="49">
        <f t="shared" si="47"/>
        <v>14.998875232258143</v>
      </c>
      <c r="I49" s="40">
        <v>4.3</v>
      </c>
      <c r="J49" s="41">
        <v>1</v>
      </c>
      <c r="K49" s="22">
        <v>100</v>
      </c>
      <c r="L49" s="46">
        <f t="shared" si="38"/>
        <v>42.724056727162676</v>
      </c>
      <c r="M49" s="39">
        <v>125</v>
      </c>
      <c r="N49" s="22">
        <v>24</v>
      </c>
      <c r="O49" s="22">
        <v>5</v>
      </c>
      <c r="P49" s="22">
        <v>800</v>
      </c>
      <c r="Q49" s="22">
        <v>80</v>
      </c>
      <c r="R49" s="49">
        <f t="shared" si="39"/>
        <v>1.5591685039370078</v>
      </c>
      <c r="S49" s="50">
        <f t="shared" si="40"/>
        <v>1259730480.2243233</v>
      </c>
      <c r="T49" s="39">
        <v>21.5</v>
      </c>
      <c r="U49" s="54">
        <f t="shared" si="41"/>
        <v>1.7889379964786547</v>
      </c>
      <c r="V49" s="54">
        <f t="shared" si="42"/>
        <v>5.277048515608456</v>
      </c>
      <c r="W49" s="54">
        <f t="shared" si="43"/>
        <v>0.33900351516332156</v>
      </c>
      <c r="X49" s="55">
        <f t="shared" si="44"/>
        <v>47.63539505149124</v>
      </c>
      <c r="Y49" s="42">
        <v>20.44</v>
      </c>
      <c r="Z49" s="43">
        <v>3.2</v>
      </c>
      <c r="AA49" s="43">
        <v>3</v>
      </c>
      <c r="AB49" s="158">
        <f t="shared" si="11"/>
        <v>3.078563983225463</v>
      </c>
      <c r="AC49" s="59">
        <f t="shared" si="12"/>
        <v>72.3822336</v>
      </c>
      <c r="AD49" s="59">
        <f t="shared" si="48"/>
        <v>29.77459577862902</v>
      </c>
      <c r="AE49" s="60">
        <f t="shared" si="45"/>
        <v>1.9534809572053535</v>
      </c>
      <c r="AF49" s="61">
        <f t="shared" si="49"/>
        <v>3.005883153467257</v>
      </c>
      <c r="AG49" s="62">
        <f t="shared" si="46"/>
        <v>0.3611916846294094</v>
      </c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</row>
    <row r="50" spans="1:65" s="22" customFormat="1" ht="12.75">
      <c r="A50" s="38" t="s">
        <v>71</v>
      </c>
      <c r="B50" s="39">
        <v>24</v>
      </c>
      <c r="C50" s="39">
        <v>75</v>
      </c>
      <c r="D50" s="39">
        <v>18</v>
      </c>
      <c r="E50" s="39">
        <v>80</v>
      </c>
      <c r="F50" s="39">
        <v>6.25</v>
      </c>
      <c r="G50" s="39">
        <v>-25</v>
      </c>
      <c r="H50" s="49">
        <f>1300*(122*(G50+273)*(G50+273)*(G50+273)*EXP(-6400/(G50+273)))</f>
        <v>14.998875232258143</v>
      </c>
      <c r="I50" s="40">
        <v>4.3</v>
      </c>
      <c r="J50" s="41">
        <v>1</v>
      </c>
      <c r="K50" s="22">
        <v>200</v>
      </c>
      <c r="L50" s="46">
        <f t="shared" si="38"/>
        <v>57.66482937156433</v>
      </c>
      <c r="M50" s="39">
        <v>125</v>
      </c>
      <c r="N50" s="22">
        <v>24</v>
      </c>
      <c r="O50" s="22">
        <v>5</v>
      </c>
      <c r="P50" s="22">
        <v>800</v>
      </c>
      <c r="Q50" s="22">
        <v>80</v>
      </c>
      <c r="R50" s="49">
        <f t="shared" si="39"/>
        <v>1.5591685039370078</v>
      </c>
      <c r="S50" s="50">
        <f t="shared" si="40"/>
        <v>1259730480.2243233</v>
      </c>
      <c r="T50" s="39">
        <v>21.5</v>
      </c>
      <c r="U50" s="54">
        <f t="shared" si="41"/>
        <v>1.7889379964786547</v>
      </c>
      <c r="V50" s="54">
        <f t="shared" si="42"/>
        <v>5.277048515608456</v>
      </c>
      <c r="W50" s="54">
        <f t="shared" si="43"/>
        <v>0.33900351516332156</v>
      </c>
      <c r="X50" s="55">
        <f t="shared" si="44"/>
        <v>67.36662173081912</v>
      </c>
      <c r="Y50" s="42">
        <v>20.85</v>
      </c>
      <c r="Z50" s="43">
        <v>3.2</v>
      </c>
      <c r="AA50" s="43">
        <v>3</v>
      </c>
      <c r="AB50" s="158">
        <f t="shared" si="11"/>
        <v>3.078563983225463</v>
      </c>
      <c r="AC50" s="59">
        <f t="shared" si="12"/>
        <v>72.3822336</v>
      </c>
      <c r="AD50" s="59">
        <f t="shared" si="48"/>
        <v>29.77459577862902</v>
      </c>
      <c r="AE50" s="60">
        <f t="shared" si="45"/>
        <v>1.3390881967637438</v>
      </c>
      <c r="AF50" s="61">
        <f t="shared" si="49"/>
        <v>3.014258235951562</v>
      </c>
      <c r="AG50" s="62">
        <f t="shared" si="46"/>
        <v>0.36018811761071917</v>
      </c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</row>
    <row r="51" spans="1:65" s="22" customFormat="1" ht="12.75">
      <c r="A51" s="38" t="s">
        <v>71</v>
      </c>
      <c r="B51" s="39">
        <v>24</v>
      </c>
      <c r="C51" s="39">
        <v>75</v>
      </c>
      <c r="D51" s="39">
        <v>18</v>
      </c>
      <c r="E51" s="39">
        <v>80</v>
      </c>
      <c r="F51" s="39">
        <v>6.25</v>
      </c>
      <c r="G51" s="39">
        <v>-25</v>
      </c>
      <c r="H51" s="49">
        <f t="shared" si="47"/>
        <v>14.998875232258143</v>
      </c>
      <c r="I51" s="40">
        <v>4.3</v>
      </c>
      <c r="J51" s="41">
        <v>1</v>
      </c>
      <c r="K51" s="22">
        <v>400</v>
      </c>
      <c r="L51" s="46">
        <f t="shared" si="38"/>
        <v>79.52991633909379</v>
      </c>
      <c r="M51" s="39">
        <v>125</v>
      </c>
      <c r="N51" s="22">
        <v>24</v>
      </c>
      <c r="O51" s="22">
        <v>5</v>
      </c>
      <c r="P51" s="22">
        <v>800</v>
      </c>
      <c r="Q51" s="22">
        <v>80</v>
      </c>
      <c r="R51" s="49">
        <f t="shared" si="39"/>
        <v>1.5591685039370078</v>
      </c>
      <c r="S51" s="50">
        <f t="shared" si="40"/>
        <v>1259730480.2243233</v>
      </c>
      <c r="T51" s="39">
        <v>21.5</v>
      </c>
      <c r="U51" s="54">
        <f t="shared" si="41"/>
        <v>1.7889379964786547</v>
      </c>
      <c r="V51" s="54">
        <f t="shared" si="42"/>
        <v>5.277048515608456</v>
      </c>
      <c r="W51" s="54">
        <f t="shared" si="43"/>
        <v>0.33900351516332156</v>
      </c>
      <c r="X51" s="55">
        <f t="shared" si="44"/>
        <v>95.27079010298247</v>
      </c>
      <c r="Y51" s="42">
        <v>21.25</v>
      </c>
      <c r="Z51" s="43">
        <v>3.2</v>
      </c>
      <c r="AA51" s="43">
        <v>3</v>
      </c>
      <c r="AB51" s="158">
        <f t="shared" si="11"/>
        <v>3.078563983225463</v>
      </c>
      <c r="AC51" s="59">
        <f t="shared" si="12"/>
        <v>72.3822336</v>
      </c>
      <c r="AD51" s="59">
        <f t="shared" si="48"/>
        <v>29.77459577862902</v>
      </c>
      <c r="AE51" s="60">
        <f t="shared" si="45"/>
        <v>0.9264226873131501</v>
      </c>
      <c r="AF51" s="61">
        <f t="shared" si="49"/>
        <v>3.003118639406638</v>
      </c>
      <c r="AG51" s="62">
        <f t="shared" si="46"/>
        <v>0.36152417881649684</v>
      </c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</row>
    <row r="52" spans="1:65" s="22" customFormat="1" ht="12.75">
      <c r="A52" s="38" t="s">
        <v>71</v>
      </c>
      <c r="B52" s="39">
        <v>24</v>
      </c>
      <c r="C52" s="39">
        <v>75</v>
      </c>
      <c r="D52" s="39">
        <v>18</v>
      </c>
      <c r="E52" s="39">
        <v>80</v>
      </c>
      <c r="F52" s="39">
        <v>6.25</v>
      </c>
      <c r="G52" s="39">
        <v>-25</v>
      </c>
      <c r="H52" s="49">
        <f t="shared" si="47"/>
        <v>14.998875232258143</v>
      </c>
      <c r="I52" s="40">
        <v>4.3</v>
      </c>
      <c r="J52" s="41">
        <v>1</v>
      </c>
      <c r="K52" s="22">
        <v>800</v>
      </c>
      <c r="L52" s="46">
        <f t="shared" si="38"/>
        <v>111.01602445506015</v>
      </c>
      <c r="M52" s="39">
        <v>125</v>
      </c>
      <c r="N52" s="22">
        <v>24</v>
      </c>
      <c r="O52" s="22">
        <v>5</v>
      </c>
      <c r="P52" s="22">
        <v>800</v>
      </c>
      <c r="Q52" s="22">
        <v>80</v>
      </c>
      <c r="R52" s="49">
        <f t="shared" si="39"/>
        <v>1.5591685039370078</v>
      </c>
      <c r="S52" s="50">
        <f t="shared" si="40"/>
        <v>1259730480.2243233</v>
      </c>
      <c r="T52" s="39">
        <v>21.5</v>
      </c>
      <c r="U52" s="54">
        <f t="shared" si="41"/>
        <v>1.7889379964786547</v>
      </c>
      <c r="V52" s="54">
        <f t="shared" si="42"/>
        <v>5.277048515608456</v>
      </c>
      <c r="W52" s="54">
        <f t="shared" si="43"/>
        <v>0.33900351516332156</v>
      </c>
      <c r="X52" s="55">
        <f t="shared" si="44"/>
        <v>134.73324346163824</v>
      </c>
      <c r="Y52" s="42">
        <v>21.64</v>
      </c>
      <c r="Z52" s="43">
        <v>3.2</v>
      </c>
      <c r="AA52" s="43">
        <v>3</v>
      </c>
      <c r="AB52" s="158">
        <f t="shared" si="11"/>
        <v>3.078563983225463</v>
      </c>
      <c r="AC52" s="59">
        <f t="shared" si="12"/>
        <v>72.3822336</v>
      </c>
      <c r="AD52" s="59">
        <f t="shared" si="48"/>
        <v>29.77459577862902</v>
      </c>
      <c r="AE52" s="60">
        <f t="shared" si="45"/>
        <v>0.6468583401542949</v>
      </c>
      <c r="AF52" s="61">
        <f t="shared" si="49"/>
        <v>2.993882956471772</v>
      </c>
      <c r="AG52" s="62">
        <f t="shared" si="46"/>
        <v>0.3626394270534459</v>
      </c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</row>
    <row r="53" spans="1:65" s="22" customFormat="1" ht="12.75">
      <c r="A53" s="38" t="s">
        <v>71</v>
      </c>
      <c r="B53" s="39">
        <v>24</v>
      </c>
      <c r="C53" s="39">
        <v>75</v>
      </c>
      <c r="D53" s="39">
        <v>18</v>
      </c>
      <c r="E53" s="39">
        <v>80</v>
      </c>
      <c r="F53" s="39">
        <v>6.25</v>
      </c>
      <c r="G53" s="39">
        <v>-25</v>
      </c>
      <c r="H53" s="49">
        <f t="shared" si="47"/>
        <v>14.998875232258143</v>
      </c>
      <c r="I53" s="40">
        <v>4.3</v>
      </c>
      <c r="J53" s="41">
        <v>1</v>
      </c>
      <c r="K53" s="22">
        <v>1600</v>
      </c>
      <c r="L53" s="46">
        <f t="shared" si="38"/>
        <v>155.96043687939908</v>
      </c>
      <c r="M53" s="39">
        <v>125</v>
      </c>
      <c r="N53" s="22">
        <v>24</v>
      </c>
      <c r="O53" s="22">
        <v>5</v>
      </c>
      <c r="P53" s="22">
        <v>800</v>
      </c>
      <c r="Q53" s="22">
        <v>80</v>
      </c>
      <c r="R53" s="49">
        <f t="shared" si="39"/>
        <v>1.5591685039370078</v>
      </c>
      <c r="S53" s="50">
        <f t="shared" si="40"/>
        <v>1259730480.2243233</v>
      </c>
      <c r="T53" s="39">
        <v>21.5</v>
      </c>
      <c r="U53" s="54">
        <f t="shared" si="41"/>
        <v>1.7889379964786547</v>
      </c>
      <c r="V53" s="54">
        <f t="shared" si="42"/>
        <v>5.277048515608456</v>
      </c>
      <c r="W53" s="54">
        <f t="shared" si="43"/>
        <v>0.33900351516332156</v>
      </c>
      <c r="X53" s="55">
        <f t="shared" si="44"/>
        <v>190.54158020596495</v>
      </c>
      <c r="Y53" s="42">
        <v>22.02</v>
      </c>
      <c r="Z53" s="43">
        <v>3.2</v>
      </c>
      <c r="AA53" s="43">
        <v>3</v>
      </c>
      <c r="AB53" s="158">
        <f t="shared" si="11"/>
        <v>3.078563983225463</v>
      </c>
      <c r="AC53" s="59">
        <f t="shared" si="12"/>
        <v>72.3822336</v>
      </c>
      <c r="AD53" s="59">
        <f t="shared" si="48"/>
        <v>29.77459577862902</v>
      </c>
      <c r="AE53" s="60">
        <f t="shared" si="45"/>
        <v>0.45583658891032475</v>
      </c>
      <c r="AF53" s="61">
        <f t="shared" si="49"/>
        <v>2.998634554286664</v>
      </c>
      <c r="AG53" s="62">
        <f t="shared" si="46"/>
        <v>0.3620647932733083</v>
      </c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</row>
    <row r="54" spans="1:65" s="22" customFormat="1" ht="12.75">
      <c r="A54" s="38" t="s">
        <v>71</v>
      </c>
      <c r="B54" s="39">
        <v>24</v>
      </c>
      <c r="C54" s="39">
        <v>75</v>
      </c>
      <c r="D54" s="39">
        <v>18</v>
      </c>
      <c r="E54" s="39">
        <v>80</v>
      </c>
      <c r="F54" s="39">
        <v>6.25</v>
      </c>
      <c r="G54" s="39">
        <v>-25</v>
      </c>
      <c r="H54" s="49">
        <f t="shared" si="47"/>
        <v>14.998875232258143</v>
      </c>
      <c r="I54" s="40">
        <v>4.3</v>
      </c>
      <c r="J54" s="41">
        <v>1</v>
      </c>
      <c r="K54" s="22">
        <v>3200</v>
      </c>
      <c r="L54" s="46">
        <f t="shared" si="38"/>
        <v>219.82233335861497</v>
      </c>
      <c r="M54" s="39">
        <v>125</v>
      </c>
      <c r="N54" s="22">
        <v>24</v>
      </c>
      <c r="O54" s="22">
        <v>5</v>
      </c>
      <c r="P54" s="22">
        <v>800</v>
      </c>
      <c r="Q54" s="22">
        <v>80</v>
      </c>
      <c r="R54" s="49">
        <f aca="true" t="shared" si="50" ref="R54:R64">B54*J54/((25.4*M54/206265)*1000)</f>
        <v>1.5591685039370078</v>
      </c>
      <c r="S54" s="50">
        <f aca="true" t="shared" si="51" ref="S54:S64">940*P54*Q54/100*C54/100*3.14159*(N54*N54-O54*O54)/4*2.54*2.54</f>
        <v>1259730480.2243233</v>
      </c>
      <c r="T54" s="39">
        <v>21.5</v>
      </c>
      <c r="U54" s="54">
        <f aca="true" t="shared" si="52" ref="U54:U64">(S54*(EXP(-0.4*LN(10)*T54))*R54*R54)/I54</f>
        <v>1.7889379964786547</v>
      </c>
      <c r="V54" s="54">
        <f aca="true" t="shared" si="53" ref="V54:V64">(S54*(EXP(-0.4*LN(10)*T54))*R54*R54+(J54*J54*H54))/I54</f>
        <v>5.277048515608456</v>
      </c>
      <c r="W54" s="54">
        <f aca="true" t="shared" si="54" ref="W54:W64">U54/V54</f>
        <v>0.33900351516332156</v>
      </c>
      <c r="X54" s="55">
        <f aca="true" t="shared" si="55" ref="X54:X64">SQRT(V54*K54*I54)</f>
        <v>269.4664869232765</v>
      </c>
      <c r="Y54" s="42">
        <v>22.4</v>
      </c>
      <c r="Z54" s="43">
        <v>3.2</v>
      </c>
      <c r="AA54" s="43">
        <v>3</v>
      </c>
      <c r="AB54" s="158">
        <f t="shared" si="11"/>
        <v>3.078563983225463</v>
      </c>
      <c r="AC54" s="59">
        <f t="shared" si="12"/>
        <v>72.3822336</v>
      </c>
      <c r="AD54" s="59">
        <f t="shared" si="48"/>
        <v>29.77459577862902</v>
      </c>
      <c r="AE54" s="60">
        <f aca="true" t="shared" si="56" ref="AE54:AE64">S54*EXP(-0.4*LN(10)*Y54)/I54</f>
        <v>0.3212248847867325</v>
      </c>
      <c r="AF54" s="61">
        <f t="shared" si="49"/>
        <v>2.9963138241077107</v>
      </c>
      <c r="AG54" s="62">
        <f aca="true" t="shared" si="57" ref="AG54:AG64">1.0857/AF54</f>
        <v>0.3623452227415854</v>
      </c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</row>
    <row r="55" spans="1:65" s="22" customFormat="1" ht="12.75">
      <c r="A55" s="38" t="s">
        <v>71</v>
      </c>
      <c r="B55" s="39">
        <v>24</v>
      </c>
      <c r="C55" s="39">
        <v>75</v>
      </c>
      <c r="D55" s="39">
        <v>18</v>
      </c>
      <c r="E55" s="39">
        <v>80</v>
      </c>
      <c r="F55" s="39">
        <v>6.25</v>
      </c>
      <c r="G55" s="39">
        <v>-25</v>
      </c>
      <c r="H55" s="49">
        <f t="shared" si="47"/>
        <v>14.998875232258143</v>
      </c>
      <c r="I55" s="40">
        <v>4.3</v>
      </c>
      <c r="J55" s="41">
        <v>1</v>
      </c>
      <c r="K55" s="22">
        <v>6400</v>
      </c>
      <c r="L55" s="46">
        <f aca="true" t="shared" si="58" ref="L55:L64">SQRT(K55*H55*J55*J55+D55*D55+(I55*I55-1)/12)</f>
        <v>310.3518309700333</v>
      </c>
      <c r="M55" s="39">
        <v>125</v>
      </c>
      <c r="N55" s="22">
        <v>24</v>
      </c>
      <c r="O55" s="22">
        <v>5</v>
      </c>
      <c r="P55" s="22">
        <v>800</v>
      </c>
      <c r="Q55" s="22">
        <v>80</v>
      </c>
      <c r="R55" s="49">
        <f t="shared" si="50"/>
        <v>1.5591685039370078</v>
      </c>
      <c r="S55" s="50">
        <f t="shared" si="51"/>
        <v>1259730480.2243233</v>
      </c>
      <c r="T55" s="39">
        <v>21.5</v>
      </c>
      <c r="U55" s="54">
        <f t="shared" si="52"/>
        <v>1.7889379964786547</v>
      </c>
      <c r="V55" s="54">
        <f t="shared" si="53"/>
        <v>5.277048515608456</v>
      </c>
      <c r="W55" s="54">
        <f t="shared" si="54"/>
        <v>0.33900351516332156</v>
      </c>
      <c r="X55" s="55">
        <f t="shared" si="55"/>
        <v>381.0831604119299</v>
      </c>
      <c r="Y55" s="42">
        <v>22.78</v>
      </c>
      <c r="Z55" s="43">
        <v>3.2</v>
      </c>
      <c r="AA55" s="43">
        <v>3</v>
      </c>
      <c r="AB55" s="158">
        <f t="shared" si="11"/>
        <v>3.078563983225463</v>
      </c>
      <c r="AC55" s="59">
        <f t="shared" si="12"/>
        <v>72.3822336</v>
      </c>
      <c r="AD55" s="59">
        <f aca="true" t="shared" si="59" ref="AD55:AD64">AC55/(R55*R55)</f>
        <v>29.77459577862902</v>
      </c>
      <c r="AE55" s="60">
        <f t="shared" si="56"/>
        <v>0.22636494988897993</v>
      </c>
      <c r="AF55" s="61">
        <f aca="true" t="shared" si="60" ref="AF55:AF64">SQRT((AE55*K55*I55)/(1+(MAX(1,AD55))*(V55*I55*K55+(I55*I55-1)/12+D55*D55)/(AE55*K55*I55)))</f>
        <v>2.990314728207126</v>
      </c>
      <c r="AG55" s="62">
        <f t="shared" si="57"/>
        <v>0.3630721508203729</v>
      </c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</row>
    <row r="56" spans="1:65" s="22" customFormat="1" ht="12.75">
      <c r="A56" s="38" t="s">
        <v>72</v>
      </c>
      <c r="B56" s="39">
        <v>20</v>
      </c>
      <c r="C56" s="39">
        <v>40</v>
      </c>
      <c r="D56" s="39">
        <v>15</v>
      </c>
      <c r="E56" s="39">
        <v>20</v>
      </c>
      <c r="F56" s="39">
        <v>5.8</v>
      </c>
      <c r="G56" s="39">
        <v>5</v>
      </c>
      <c r="H56" s="49">
        <f aca="true" t="shared" si="61" ref="H56:H64">B56*B56*(E56/16.022)*EXP(0.69315*(G56-25)/F56)</f>
        <v>45.74404544650305</v>
      </c>
      <c r="I56" s="40">
        <v>4</v>
      </c>
      <c r="J56" s="41">
        <v>1</v>
      </c>
      <c r="K56" s="22">
        <v>1200</v>
      </c>
      <c r="L56" s="46">
        <f t="shared" si="58"/>
        <v>234.77458238873234</v>
      </c>
      <c r="M56" s="39">
        <v>120</v>
      </c>
      <c r="N56" s="22">
        <v>12</v>
      </c>
      <c r="O56" s="22">
        <v>4</v>
      </c>
      <c r="P56" s="22">
        <v>800</v>
      </c>
      <c r="Q56" s="22">
        <v>80</v>
      </c>
      <c r="R56" s="49">
        <f t="shared" si="50"/>
        <v>1.3534448818897638</v>
      </c>
      <c r="S56" s="50">
        <f t="shared" si="51"/>
        <v>156075500.5141811</v>
      </c>
      <c r="T56" s="39">
        <v>21.5</v>
      </c>
      <c r="U56" s="54">
        <f t="shared" si="52"/>
        <v>0.17953779755238822</v>
      </c>
      <c r="V56" s="54">
        <f t="shared" si="53"/>
        <v>11.615549159178151</v>
      </c>
      <c r="W56" s="54">
        <f t="shared" si="54"/>
        <v>0.015456677518387023</v>
      </c>
      <c r="X56" s="55">
        <f t="shared" si="55"/>
        <v>236.12419605803876</v>
      </c>
      <c r="Y56" s="42">
        <v>20</v>
      </c>
      <c r="Z56" s="43">
        <v>2</v>
      </c>
      <c r="AA56" s="43">
        <v>3</v>
      </c>
      <c r="AB56" s="158">
        <f t="shared" si="11"/>
        <v>2.216566067922333</v>
      </c>
      <c r="AC56" s="59">
        <f t="shared" si="12"/>
        <v>28.27431</v>
      </c>
      <c r="AD56" s="59">
        <f t="shared" si="59"/>
        <v>15.43515045164128</v>
      </c>
      <c r="AE56" s="60">
        <f t="shared" si="56"/>
        <v>0.39018875128545205</v>
      </c>
      <c r="AF56" s="61">
        <f t="shared" si="60"/>
        <v>2.0126603970428794</v>
      </c>
      <c r="AG56" s="62">
        <f t="shared" si="57"/>
        <v>0.539435267666207</v>
      </c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</row>
    <row r="57" spans="1:65" s="22" customFormat="1" ht="12.75">
      <c r="A57" s="38" t="s">
        <v>72</v>
      </c>
      <c r="B57" s="39">
        <v>20</v>
      </c>
      <c r="C57" s="39">
        <v>40</v>
      </c>
      <c r="D57" s="39">
        <v>15</v>
      </c>
      <c r="E57" s="39">
        <v>20</v>
      </c>
      <c r="F57" s="39">
        <v>5.8</v>
      </c>
      <c r="G57" s="39">
        <v>-5</v>
      </c>
      <c r="H57" s="49">
        <f t="shared" si="61"/>
        <v>13.845709789823015</v>
      </c>
      <c r="I57" s="40">
        <v>4</v>
      </c>
      <c r="J57" s="41">
        <v>1</v>
      </c>
      <c r="K57" s="22">
        <v>1200</v>
      </c>
      <c r="L57" s="46">
        <f t="shared" si="58"/>
        <v>129.7732705443907</v>
      </c>
      <c r="M57" s="39">
        <v>120</v>
      </c>
      <c r="N57" s="22">
        <v>12</v>
      </c>
      <c r="O57" s="22">
        <v>4</v>
      </c>
      <c r="P57" s="22">
        <v>800</v>
      </c>
      <c r="Q57" s="22">
        <v>80</v>
      </c>
      <c r="R57" s="49">
        <f t="shared" si="50"/>
        <v>1.3534448818897638</v>
      </c>
      <c r="S57" s="50">
        <f t="shared" si="51"/>
        <v>156075500.5141811</v>
      </c>
      <c r="T57" s="39">
        <v>21.5</v>
      </c>
      <c r="U57" s="54">
        <f t="shared" si="52"/>
        <v>0.17953779755238822</v>
      </c>
      <c r="V57" s="54">
        <f t="shared" si="53"/>
        <v>3.6409652450081422</v>
      </c>
      <c r="W57" s="54">
        <f t="shared" si="54"/>
        <v>0.049310494737223654</v>
      </c>
      <c r="X57" s="55">
        <f t="shared" si="55"/>
        <v>132.19921775880175</v>
      </c>
      <c r="Y57" s="42">
        <v>20</v>
      </c>
      <c r="Z57" s="43">
        <v>2</v>
      </c>
      <c r="AA57" s="43">
        <v>3</v>
      </c>
      <c r="AB57" s="158">
        <f t="shared" si="11"/>
        <v>2.216566067922333</v>
      </c>
      <c r="AC57" s="59">
        <f t="shared" si="12"/>
        <v>28.27431</v>
      </c>
      <c r="AD57" s="59">
        <f t="shared" si="59"/>
        <v>15.43515045164128</v>
      </c>
      <c r="AE57" s="60">
        <f t="shared" si="56"/>
        <v>0.39018875128545205</v>
      </c>
      <c r="AF57" s="61">
        <f t="shared" si="60"/>
        <v>3.570715422789443</v>
      </c>
      <c r="AG57" s="62">
        <f t="shared" si="57"/>
        <v>0.3040567145370132</v>
      </c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</row>
    <row r="58" spans="1:65" s="22" customFormat="1" ht="12.75">
      <c r="A58" s="38" t="s">
        <v>72</v>
      </c>
      <c r="B58" s="39">
        <v>20</v>
      </c>
      <c r="C58" s="39">
        <v>40</v>
      </c>
      <c r="D58" s="39">
        <v>15</v>
      </c>
      <c r="E58" s="39">
        <v>20</v>
      </c>
      <c r="F58" s="39">
        <v>5.8</v>
      </c>
      <c r="G58" s="39">
        <v>-15</v>
      </c>
      <c r="H58" s="49">
        <f t="shared" si="61"/>
        <v>4.190789811281456</v>
      </c>
      <c r="I58" s="40">
        <v>4</v>
      </c>
      <c r="J58" s="41">
        <v>1</v>
      </c>
      <c r="K58" s="22">
        <v>1200</v>
      </c>
      <c r="L58" s="46">
        <f t="shared" si="58"/>
        <v>72.49274290256747</v>
      </c>
      <c r="M58" s="39">
        <v>120</v>
      </c>
      <c r="N58" s="22">
        <v>12</v>
      </c>
      <c r="O58" s="22">
        <v>4</v>
      </c>
      <c r="P58" s="22">
        <v>800</v>
      </c>
      <c r="Q58" s="22">
        <v>80</v>
      </c>
      <c r="R58" s="49">
        <f t="shared" si="50"/>
        <v>1.3534448818897638</v>
      </c>
      <c r="S58" s="50">
        <f t="shared" si="51"/>
        <v>156075500.5141811</v>
      </c>
      <c r="T58" s="39">
        <v>21.5</v>
      </c>
      <c r="U58" s="54">
        <f t="shared" si="52"/>
        <v>0.17953779755238822</v>
      </c>
      <c r="V58" s="54">
        <f t="shared" si="53"/>
        <v>1.2272352503727522</v>
      </c>
      <c r="W58" s="54">
        <f t="shared" si="54"/>
        <v>0.14629452462179246</v>
      </c>
      <c r="X58" s="55">
        <f t="shared" si="55"/>
        <v>76.7510859974581</v>
      </c>
      <c r="Y58" s="42">
        <v>20</v>
      </c>
      <c r="Z58" s="43">
        <v>2</v>
      </c>
      <c r="AA58" s="43">
        <v>3</v>
      </c>
      <c r="AB58" s="158">
        <f t="shared" si="11"/>
        <v>2.216566067922333</v>
      </c>
      <c r="AC58" s="59">
        <f t="shared" si="12"/>
        <v>28.27431</v>
      </c>
      <c r="AD58" s="59">
        <f t="shared" si="59"/>
        <v>15.43515045164128</v>
      </c>
      <c r="AE58" s="60">
        <f t="shared" si="56"/>
        <v>0.39018875128545205</v>
      </c>
      <c r="AF58" s="61">
        <f t="shared" si="60"/>
        <v>6.035687437785085</v>
      </c>
      <c r="AG58" s="62">
        <f t="shared" si="57"/>
        <v>0.17988009007941924</v>
      </c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</row>
    <row r="59" spans="1:65" s="22" customFormat="1" ht="12.75">
      <c r="A59" s="38" t="s">
        <v>72</v>
      </c>
      <c r="B59" s="39">
        <v>20</v>
      </c>
      <c r="C59" s="39">
        <v>40</v>
      </c>
      <c r="D59" s="39">
        <v>15</v>
      </c>
      <c r="E59" s="39">
        <v>20</v>
      </c>
      <c r="F59" s="39">
        <v>5.8</v>
      </c>
      <c r="G59" s="39">
        <v>-25</v>
      </c>
      <c r="H59" s="49">
        <f t="shared" si="61"/>
        <v>1.2684592923686422</v>
      </c>
      <c r="I59" s="40">
        <v>4</v>
      </c>
      <c r="J59" s="41">
        <v>1</v>
      </c>
      <c r="K59" s="22">
        <v>1200</v>
      </c>
      <c r="L59" s="46">
        <f t="shared" si="58"/>
        <v>41.81388705732069</v>
      </c>
      <c r="M59" s="39">
        <v>120</v>
      </c>
      <c r="N59" s="22">
        <v>12</v>
      </c>
      <c r="O59" s="22">
        <v>4</v>
      </c>
      <c r="P59" s="22">
        <v>800</v>
      </c>
      <c r="Q59" s="22">
        <v>80</v>
      </c>
      <c r="R59" s="49">
        <f t="shared" si="50"/>
        <v>1.3534448818897638</v>
      </c>
      <c r="S59" s="50">
        <f t="shared" si="51"/>
        <v>156075500.5141811</v>
      </c>
      <c r="T59" s="39">
        <v>21.5</v>
      </c>
      <c r="U59" s="54">
        <f t="shared" si="52"/>
        <v>0.17953779755238822</v>
      </c>
      <c r="V59" s="54">
        <f t="shared" si="53"/>
        <v>0.49665262064454874</v>
      </c>
      <c r="W59" s="54">
        <f t="shared" si="54"/>
        <v>0.36149572173682804</v>
      </c>
      <c r="X59" s="55">
        <f t="shared" si="55"/>
        <v>48.825532041072876</v>
      </c>
      <c r="Y59" s="42">
        <v>20</v>
      </c>
      <c r="Z59" s="43">
        <v>2</v>
      </c>
      <c r="AA59" s="43">
        <v>3</v>
      </c>
      <c r="AB59" s="158">
        <f t="shared" si="11"/>
        <v>2.216566067922333</v>
      </c>
      <c r="AC59" s="59">
        <f t="shared" si="12"/>
        <v>28.27431</v>
      </c>
      <c r="AD59" s="59">
        <f t="shared" si="59"/>
        <v>15.43515045164128</v>
      </c>
      <c r="AE59" s="60">
        <f t="shared" si="56"/>
        <v>0.39018875128545205</v>
      </c>
      <c r="AF59" s="61">
        <f t="shared" si="60"/>
        <v>9.121329121064965</v>
      </c>
      <c r="AG59" s="62">
        <f t="shared" si="57"/>
        <v>0.1190287057499838</v>
      </c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</row>
    <row r="60" spans="1:65" s="22" customFormat="1" ht="12.75">
      <c r="A60" s="38" t="s">
        <v>72</v>
      </c>
      <c r="B60" s="39">
        <v>20</v>
      </c>
      <c r="C60" s="39">
        <v>40</v>
      </c>
      <c r="D60" s="39">
        <v>15</v>
      </c>
      <c r="E60" s="39">
        <v>20</v>
      </c>
      <c r="F60" s="39">
        <v>5.8</v>
      </c>
      <c r="G60" s="39">
        <v>-35</v>
      </c>
      <c r="H60" s="49">
        <f t="shared" si="61"/>
        <v>0.3839345442868578</v>
      </c>
      <c r="I60" s="40">
        <v>4</v>
      </c>
      <c r="J60" s="41">
        <v>1</v>
      </c>
      <c r="K60" s="22">
        <v>1200</v>
      </c>
      <c r="L60" s="46">
        <f t="shared" si="58"/>
        <v>26.21014027326503</v>
      </c>
      <c r="M60" s="39">
        <v>120</v>
      </c>
      <c r="N60" s="22">
        <v>12</v>
      </c>
      <c r="O60" s="22">
        <v>4</v>
      </c>
      <c r="P60" s="22">
        <v>800</v>
      </c>
      <c r="Q60" s="22">
        <v>80</v>
      </c>
      <c r="R60" s="49">
        <f t="shared" si="50"/>
        <v>1.3534448818897638</v>
      </c>
      <c r="S60" s="50">
        <f t="shared" si="51"/>
        <v>156075500.5141811</v>
      </c>
      <c r="T60" s="39">
        <v>21.5</v>
      </c>
      <c r="U60" s="54">
        <f t="shared" si="52"/>
        <v>0.17953779755238822</v>
      </c>
      <c r="V60" s="54">
        <f t="shared" si="53"/>
        <v>0.27552143362410264</v>
      </c>
      <c r="W60" s="54">
        <f t="shared" si="54"/>
        <v>0.6516291498298963</v>
      </c>
      <c r="X60" s="55">
        <f t="shared" si="55"/>
        <v>36.366232708320126</v>
      </c>
      <c r="Y60" s="42">
        <v>20</v>
      </c>
      <c r="Z60" s="43">
        <v>2</v>
      </c>
      <c r="AA60" s="43">
        <v>3</v>
      </c>
      <c r="AB60" s="158">
        <f t="shared" si="11"/>
        <v>2.216566067922333</v>
      </c>
      <c r="AC60" s="59">
        <f t="shared" si="12"/>
        <v>28.27431</v>
      </c>
      <c r="AD60" s="59">
        <f t="shared" si="59"/>
        <v>15.43515045164128</v>
      </c>
      <c r="AE60" s="60">
        <f t="shared" si="56"/>
        <v>0.39018875128545205</v>
      </c>
      <c r="AF60" s="61">
        <f t="shared" si="60"/>
        <v>11.665146450995605</v>
      </c>
      <c r="AG60" s="62">
        <f t="shared" si="57"/>
        <v>0.0930721276891759</v>
      </c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</row>
    <row r="61" spans="1:65" s="22" customFormat="1" ht="12.75">
      <c r="A61" s="38" t="s">
        <v>72</v>
      </c>
      <c r="B61" s="39">
        <v>20</v>
      </c>
      <c r="C61" s="39">
        <v>40</v>
      </c>
      <c r="D61" s="39">
        <v>15</v>
      </c>
      <c r="E61" s="39">
        <v>20</v>
      </c>
      <c r="F61" s="39">
        <v>5.8</v>
      </c>
      <c r="G61" s="39">
        <v>-45</v>
      </c>
      <c r="H61" s="49">
        <f t="shared" si="61"/>
        <v>0.11620848629797265</v>
      </c>
      <c r="I61" s="40">
        <v>4</v>
      </c>
      <c r="J61" s="41">
        <v>1</v>
      </c>
      <c r="K61" s="22">
        <v>1200</v>
      </c>
      <c r="L61" s="46">
        <f t="shared" si="58"/>
        <v>19.123289036082866</v>
      </c>
      <c r="M61" s="39">
        <v>120</v>
      </c>
      <c r="N61" s="22">
        <v>12</v>
      </c>
      <c r="O61" s="22">
        <v>4</v>
      </c>
      <c r="P61" s="22">
        <v>800</v>
      </c>
      <c r="Q61" s="22">
        <v>80</v>
      </c>
      <c r="R61" s="49">
        <f t="shared" si="50"/>
        <v>1.3534448818897638</v>
      </c>
      <c r="S61" s="50">
        <f t="shared" si="51"/>
        <v>156075500.5141811</v>
      </c>
      <c r="T61" s="39">
        <v>21.5</v>
      </c>
      <c r="U61" s="54">
        <f t="shared" si="52"/>
        <v>0.17953779755238822</v>
      </c>
      <c r="V61" s="54">
        <f t="shared" si="53"/>
        <v>0.20858991912688138</v>
      </c>
      <c r="W61" s="54">
        <f t="shared" si="54"/>
        <v>0.8607213536680011</v>
      </c>
      <c r="X61" s="55">
        <f t="shared" si="55"/>
        <v>31.64224410197593</v>
      </c>
      <c r="Y61" s="42">
        <v>20</v>
      </c>
      <c r="Z61" s="43">
        <v>2</v>
      </c>
      <c r="AA61" s="43">
        <v>3</v>
      </c>
      <c r="AB61" s="158">
        <f t="shared" si="11"/>
        <v>2.216566067922333</v>
      </c>
      <c r="AC61" s="59">
        <f t="shared" si="12"/>
        <v>28.27431</v>
      </c>
      <c r="AD61" s="59">
        <f t="shared" si="59"/>
        <v>15.43515045164128</v>
      </c>
      <c r="AE61" s="60">
        <f t="shared" si="56"/>
        <v>0.39018875128545205</v>
      </c>
      <c r="AF61" s="61">
        <f t="shared" si="60"/>
        <v>12.980255476494332</v>
      </c>
      <c r="AG61" s="62">
        <f t="shared" si="57"/>
        <v>0.08364242151982841</v>
      </c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</row>
    <row r="62" spans="1:65" s="22" customFormat="1" ht="12.75">
      <c r="A62" s="38" t="s">
        <v>72</v>
      </c>
      <c r="B62" s="39">
        <v>20</v>
      </c>
      <c r="C62" s="39">
        <v>40</v>
      </c>
      <c r="D62" s="39">
        <v>15</v>
      </c>
      <c r="E62" s="39">
        <v>20</v>
      </c>
      <c r="F62" s="39">
        <v>5.8</v>
      </c>
      <c r="G62" s="39">
        <v>-55</v>
      </c>
      <c r="H62" s="49">
        <f t="shared" si="61"/>
        <v>0.03517373596259734</v>
      </c>
      <c r="I62" s="40">
        <v>4</v>
      </c>
      <c r="J62" s="41">
        <v>1</v>
      </c>
      <c r="K62" s="22">
        <v>1200</v>
      </c>
      <c r="L62" s="46">
        <f t="shared" si="58"/>
        <v>16.384702717935312</v>
      </c>
      <c r="M62" s="39">
        <v>120</v>
      </c>
      <c r="N62" s="22">
        <v>12</v>
      </c>
      <c r="O62" s="22">
        <v>4</v>
      </c>
      <c r="P62" s="22">
        <v>800</v>
      </c>
      <c r="Q62" s="22">
        <v>80</v>
      </c>
      <c r="R62" s="49">
        <f t="shared" si="50"/>
        <v>1.3534448818897638</v>
      </c>
      <c r="S62" s="50">
        <f t="shared" si="51"/>
        <v>156075500.5141811</v>
      </c>
      <c r="T62" s="39">
        <v>21.5</v>
      </c>
      <c r="U62" s="54">
        <f t="shared" si="52"/>
        <v>0.17953779755238822</v>
      </c>
      <c r="V62" s="54">
        <f t="shared" si="53"/>
        <v>0.18833123154303755</v>
      </c>
      <c r="W62" s="54">
        <f t="shared" si="54"/>
        <v>0.9533086789769128</v>
      </c>
      <c r="X62" s="55">
        <f t="shared" si="55"/>
        <v>30.06642498546477</v>
      </c>
      <c r="Y62" s="42">
        <v>20</v>
      </c>
      <c r="Z62" s="43">
        <v>2</v>
      </c>
      <c r="AA62" s="43">
        <v>3</v>
      </c>
      <c r="AB62" s="158">
        <f t="shared" si="11"/>
        <v>2.216566067922333</v>
      </c>
      <c r="AC62" s="59">
        <f t="shared" si="12"/>
        <v>28.27431</v>
      </c>
      <c r="AD62" s="59">
        <f t="shared" si="59"/>
        <v>15.43515045164128</v>
      </c>
      <c r="AE62" s="60">
        <f t="shared" si="56"/>
        <v>0.39018875128545205</v>
      </c>
      <c r="AF62" s="61">
        <f t="shared" si="60"/>
        <v>13.475075351629739</v>
      </c>
      <c r="AG62" s="62">
        <f t="shared" si="57"/>
        <v>0.08057097802192924</v>
      </c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</row>
    <row r="63" spans="1:65" s="22" customFormat="1" ht="12.75">
      <c r="A63" s="38" t="s">
        <v>72</v>
      </c>
      <c r="B63" s="39">
        <v>20</v>
      </c>
      <c r="C63" s="39">
        <v>40</v>
      </c>
      <c r="D63" s="39">
        <v>15</v>
      </c>
      <c r="E63" s="39">
        <v>20</v>
      </c>
      <c r="F63" s="39">
        <v>5.8</v>
      </c>
      <c r="G63" s="39">
        <v>-65</v>
      </c>
      <c r="H63" s="49">
        <f t="shared" si="61"/>
        <v>0.0106463111342334</v>
      </c>
      <c r="I63" s="40">
        <v>4</v>
      </c>
      <c r="J63" s="41">
        <v>1</v>
      </c>
      <c r="K63" s="22">
        <v>1200</v>
      </c>
      <c r="L63" s="46">
        <f t="shared" si="58"/>
        <v>15.460451913222979</v>
      </c>
      <c r="M63" s="39">
        <v>120</v>
      </c>
      <c r="N63" s="22">
        <v>12</v>
      </c>
      <c r="O63" s="22">
        <v>4</v>
      </c>
      <c r="P63" s="22">
        <v>800</v>
      </c>
      <c r="Q63" s="22">
        <v>80</v>
      </c>
      <c r="R63" s="49">
        <f t="shared" si="50"/>
        <v>1.3534448818897638</v>
      </c>
      <c r="S63" s="50">
        <f t="shared" si="51"/>
        <v>156075500.5141811</v>
      </c>
      <c r="T63" s="39">
        <v>21.5</v>
      </c>
      <c r="U63" s="54">
        <f t="shared" si="52"/>
        <v>0.17953779755238822</v>
      </c>
      <c r="V63" s="54">
        <f t="shared" si="53"/>
        <v>0.18219937533594657</v>
      </c>
      <c r="W63" s="54">
        <f t="shared" si="54"/>
        <v>0.9853919489095347</v>
      </c>
      <c r="X63" s="55">
        <f t="shared" si="55"/>
        <v>29.57290992804975</v>
      </c>
      <c r="Y63" s="42">
        <v>20</v>
      </c>
      <c r="Z63" s="43">
        <v>2</v>
      </c>
      <c r="AA63" s="43">
        <v>3</v>
      </c>
      <c r="AB63" s="158">
        <f t="shared" si="11"/>
        <v>2.216566067922333</v>
      </c>
      <c r="AC63" s="59">
        <f t="shared" si="12"/>
        <v>28.27431</v>
      </c>
      <c r="AD63" s="59">
        <f t="shared" si="59"/>
        <v>15.43515045164128</v>
      </c>
      <c r="AE63" s="60">
        <f t="shared" si="56"/>
        <v>0.39018875128545205</v>
      </c>
      <c r="AF63" s="61">
        <f t="shared" si="60"/>
        <v>13.636369784675603</v>
      </c>
      <c r="AG63" s="62">
        <f t="shared" si="57"/>
        <v>0.07961796410215403</v>
      </c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</row>
    <row r="64" spans="1:65" s="22" customFormat="1" ht="12.75">
      <c r="A64" s="38" t="s">
        <v>72</v>
      </c>
      <c r="B64" s="39">
        <v>20</v>
      </c>
      <c r="C64" s="39">
        <v>40</v>
      </c>
      <c r="D64" s="39">
        <v>15</v>
      </c>
      <c r="E64" s="39">
        <v>20</v>
      </c>
      <c r="F64" s="39">
        <v>5.8</v>
      </c>
      <c r="G64" s="39">
        <v>-75</v>
      </c>
      <c r="H64" s="49">
        <f t="shared" si="61"/>
        <v>0.0032224026724778027</v>
      </c>
      <c r="I64" s="40">
        <v>4</v>
      </c>
      <c r="J64" s="41">
        <v>1</v>
      </c>
      <c r="K64" s="22">
        <v>1200</v>
      </c>
      <c r="L64" s="46">
        <f t="shared" si="58"/>
        <v>15.169603923866086</v>
      </c>
      <c r="M64" s="39">
        <v>120</v>
      </c>
      <c r="N64" s="22">
        <v>12</v>
      </c>
      <c r="O64" s="22">
        <v>4</v>
      </c>
      <c r="P64" s="22">
        <v>800</v>
      </c>
      <c r="Q64" s="22">
        <v>80</v>
      </c>
      <c r="R64" s="49">
        <f t="shared" si="50"/>
        <v>1.3534448818897638</v>
      </c>
      <c r="S64" s="50">
        <f t="shared" si="51"/>
        <v>156075500.5141811</v>
      </c>
      <c r="T64" s="39">
        <v>21.5</v>
      </c>
      <c r="U64" s="54">
        <f t="shared" si="52"/>
        <v>0.17953779755238822</v>
      </c>
      <c r="V64" s="54">
        <f t="shared" si="53"/>
        <v>0.18034339822050766</v>
      </c>
      <c r="W64" s="54">
        <f t="shared" si="54"/>
        <v>0.9955329628028057</v>
      </c>
      <c r="X64" s="55">
        <f t="shared" si="55"/>
        <v>29.421901900768358</v>
      </c>
      <c r="Y64" s="42">
        <v>20</v>
      </c>
      <c r="Z64" s="43">
        <v>2</v>
      </c>
      <c r="AA64" s="43">
        <v>3</v>
      </c>
      <c r="AB64" s="158">
        <f t="shared" si="11"/>
        <v>2.216566067922333</v>
      </c>
      <c r="AC64" s="59">
        <f t="shared" si="12"/>
        <v>28.27431</v>
      </c>
      <c r="AD64" s="59">
        <f t="shared" si="59"/>
        <v>15.43515045164128</v>
      </c>
      <c r="AE64" s="60">
        <f t="shared" si="56"/>
        <v>0.39018875128545205</v>
      </c>
      <c r="AF64" s="61">
        <f t="shared" si="60"/>
        <v>13.686343465775288</v>
      </c>
      <c r="AG64" s="62">
        <f t="shared" si="57"/>
        <v>0.07932725075290946</v>
      </c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</row>
    <row r="65" spans="1:65" s="22" customFormat="1" ht="12.75">
      <c r="A65" s="38" t="s">
        <v>73</v>
      </c>
      <c r="B65" s="39">
        <v>14</v>
      </c>
      <c r="C65" s="39">
        <v>85</v>
      </c>
      <c r="D65" s="39">
        <v>5</v>
      </c>
      <c r="E65" s="39">
        <v>25</v>
      </c>
      <c r="F65" s="39">
        <v>6.5</v>
      </c>
      <c r="G65" s="39">
        <v>5</v>
      </c>
      <c r="H65" s="49">
        <f>B65*B65*(E65/16.022)*EXP(0.69315*(G65-25)/F65)</f>
        <v>36.2434427591898</v>
      </c>
      <c r="I65" s="40">
        <v>2</v>
      </c>
      <c r="J65" s="41">
        <v>1</v>
      </c>
      <c r="K65" s="22">
        <v>600</v>
      </c>
      <c r="L65" s="46">
        <f>SQRT(K65*H65*J65*J65+D65*D65+(I65*I65-1)/12)</f>
        <v>147.55106118057532</v>
      </c>
      <c r="M65" s="39">
        <v>120</v>
      </c>
      <c r="N65" s="22">
        <v>12</v>
      </c>
      <c r="O65" s="22">
        <v>4</v>
      </c>
      <c r="P65" s="22">
        <v>800</v>
      </c>
      <c r="Q65" s="22">
        <v>80</v>
      </c>
      <c r="R65" s="49">
        <f aca="true" t="shared" si="62" ref="R65:R73">B65*J65/((25.4*M65/206265)*1000)</f>
        <v>0.9474114173228347</v>
      </c>
      <c r="S65" s="50">
        <f aca="true" t="shared" si="63" ref="S65:S73">940*P65*Q65/100*C65/100*3.14159*(N65*N65-O65*O65)/4*2.54*2.54</f>
        <v>331660438.59263486</v>
      </c>
      <c r="T65" s="39">
        <v>21.5</v>
      </c>
      <c r="U65" s="54">
        <f aca="true" t="shared" si="64" ref="U65:U73">(S65*(EXP(-0.4*LN(10)*T65))*R65*R65)/I65</f>
        <v>0.37388746340284856</v>
      </c>
      <c r="V65" s="54">
        <f aca="true" t="shared" si="65" ref="V65:V73">(S65*(EXP(-0.4*LN(10)*T65))*R65*R65+(J65*J65*H65))/I65</f>
        <v>18.495608842997747</v>
      </c>
      <c r="W65" s="54">
        <f aca="true" t="shared" si="66" ref="W65:W73">U65/V65</f>
        <v>0.02021493136974502</v>
      </c>
      <c r="X65" s="55">
        <f aca="true" t="shared" si="67" ref="X65:X73">SQRT(V65*K65*I65)</f>
        <v>148.97896029841695</v>
      </c>
      <c r="Y65" s="42">
        <v>20</v>
      </c>
      <c r="Z65" s="43">
        <v>2</v>
      </c>
      <c r="AA65" s="43">
        <v>3</v>
      </c>
      <c r="AB65" s="158">
        <f t="shared" si="11"/>
        <v>3.166522954174761</v>
      </c>
      <c r="AC65" s="59">
        <f t="shared" si="12"/>
        <v>28.27431</v>
      </c>
      <c r="AD65" s="59">
        <f>AC65/(R65*R65)</f>
        <v>31.500307044165872</v>
      </c>
      <c r="AE65" s="60">
        <f aca="true" t="shared" si="68" ref="AE65:AE73">S65*EXP(-0.4*LN(10)*Y65)/I65</f>
        <v>1.6583021929631714</v>
      </c>
      <c r="AF65" s="61">
        <f>SQRT((AE65*K65*I65)/(1+(MAX(1,AD65))*(V65*I65*K65+(I65*I65-1)/12+D65*D65)/(AE65*K65*I65)))</f>
        <v>2.3751946286117156</v>
      </c>
      <c r="AG65" s="62">
        <f aca="true" t="shared" si="69" ref="AG65:AG73">1.0857/AF65</f>
        <v>0.4570993833185721</v>
      </c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</row>
    <row r="66" spans="1:65" s="22" customFormat="1" ht="12.75">
      <c r="A66" s="38" t="s">
        <v>73</v>
      </c>
      <c r="B66" s="39">
        <v>14</v>
      </c>
      <c r="C66" s="39">
        <v>85</v>
      </c>
      <c r="D66" s="39">
        <v>5</v>
      </c>
      <c r="E66" s="39">
        <v>25</v>
      </c>
      <c r="F66" s="39">
        <v>6.5</v>
      </c>
      <c r="G66" s="39">
        <v>-5</v>
      </c>
      <c r="H66" s="49">
        <f aca="true" t="shared" si="70" ref="H66:H73">B66*B66*(E66/16.022)*EXP(0.69315*(G66-25)/F66)</f>
        <v>12.476836686160482</v>
      </c>
      <c r="I66" s="40">
        <v>2</v>
      </c>
      <c r="J66" s="41">
        <v>1</v>
      </c>
      <c r="K66" s="22">
        <v>600</v>
      </c>
      <c r="L66" s="46">
        <f aca="true" t="shared" si="71" ref="L66:L73">SQRT(K66*H66*J66*J66+D66*D66+(I66*I66-1)/12)</f>
        <v>86.66805646659148</v>
      </c>
      <c r="M66" s="39">
        <v>120</v>
      </c>
      <c r="N66" s="22">
        <v>12</v>
      </c>
      <c r="O66" s="22">
        <v>4</v>
      </c>
      <c r="P66" s="22">
        <v>800</v>
      </c>
      <c r="Q66" s="22">
        <v>80</v>
      </c>
      <c r="R66" s="49">
        <f t="shared" si="62"/>
        <v>0.9474114173228347</v>
      </c>
      <c r="S66" s="50">
        <f t="shared" si="63"/>
        <v>331660438.59263486</v>
      </c>
      <c r="T66" s="39">
        <v>21.5</v>
      </c>
      <c r="U66" s="54">
        <f t="shared" si="64"/>
        <v>0.37388746340284856</v>
      </c>
      <c r="V66" s="54">
        <f t="shared" si="65"/>
        <v>6.612305806483089</v>
      </c>
      <c r="W66" s="54">
        <f t="shared" si="66"/>
        <v>0.05654418811608313</v>
      </c>
      <c r="X66" s="55">
        <f t="shared" si="67"/>
        <v>89.07730893880723</v>
      </c>
      <c r="Y66" s="42">
        <v>20</v>
      </c>
      <c r="Z66" s="43">
        <v>2</v>
      </c>
      <c r="AA66" s="43">
        <v>3</v>
      </c>
      <c r="AB66" s="158">
        <f t="shared" si="11"/>
        <v>3.166522954174761</v>
      </c>
      <c r="AC66" s="59">
        <f t="shared" si="12"/>
        <v>28.27431</v>
      </c>
      <c r="AD66" s="59">
        <f aca="true" t="shared" si="72" ref="AD66:AD73">AC66/(R66*R66)</f>
        <v>31.500307044165872</v>
      </c>
      <c r="AE66" s="60">
        <f t="shared" si="68"/>
        <v>1.6583021929631714</v>
      </c>
      <c r="AF66" s="61">
        <f aca="true" t="shared" si="73" ref="AF66:AF73">SQRT((AE66*K66*I66)/(1+(MAX(1,AD66))*(V66*I66*K66+(I66*I66-1)/12+D66*D66)/(AE66*K66*I66)))</f>
        <v>3.95834820591717</v>
      </c>
      <c r="AG66" s="62">
        <f t="shared" si="69"/>
        <v>0.2742810747111718</v>
      </c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</row>
    <row r="67" spans="1:65" s="22" customFormat="1" ht="12.75">
      <c r="A67" s="38" t="s">
        <v>73</v>
      </c>
      <c r="B67" s="39">
        <v>14</v>
      </c>
      <c r="C67" s="39">
        <v>85</v>
      </c>
      <c r="D67" s="39">
        <v>5</v>
      </c>
      <c r="E67" s="39">
        <v>25</v>
      </c>
      <c r="F67" s="39">
        <v>6.5</v>
      </c>
      <c r="G67" s="39">
        <v>-15</v>
      </c>
      <c r="H67" s="49">
        <f t="shared" si="70"/>
        <v>4.295161878727659</v>
      </c>
      <c r="I67" s="40">
        <v>2</v>
      </c>
      <c r="J67" s="41">
        <v>1</v>
      </c>
      <c r="K67" s="22">
        <v>600</v>
      </c>
      <c r="L67" s="46">
        <f t="shared" si="71"/>
        <v>51.0132054201321</v>
      </c>
      <c r="M67" s="39">
        <v>120</v>
      </c>
      <c r="N67" s="22">
        <v>12</v>
      </c>
      <c r="O67" s="22">
        <v>4</v>
      </c>
      <c r="P67" s="22">
        <v>800</v>
      </c>
      <c r="Q67" s="22">
        <v>80</v>
      </c>
      <c r="R67" s="49">
        <f t="shared" si="62"/>
        <v>0.9474114173228347</v>
      </c>
      <c r="S67" s="50">
        <f t="shared" si="63"/>
        <v>331660438.59263486</v>
      </c>
      <c r="T67" s="39">
        <v>21.5</v>
      </c>
      <c r="U67" s="54">
        <f t="shared" si="64"/>
        <v>0.37388746340284856</v>
      </c>
      <c r="V67" s="54">
        <f t="shared" si="65"/>
        <v>2.521468402766678</v>
      </c>
      <c r="W67" s="54">
        <f t="shared" si="66"/>
        <v>0.1482816373953372</v>
      </c>
      <c r="X67" s="55">
        <f t="shared" si="67"/>
        <v>55.00692759389506</v>
      </c>
      <c r="Y67" s="42">
        <v>20</v>
      </c>
      <c r="Z67" s="43">
        <v>2</v>
      </c>
      <c r="AA67" s="43">
        <v>3</v>
      </c>
      <c r="AB67" s="158">
        <f t="shared" si="11"/>
        <v>3.166522954174761</v>
      </c>
      <c r="AC67" s="59">
        <f t="shared" si="12"/>
        <v>28.27431</v>
      </c>
      <c r="AD67" s="59">
        <f t="shared" si="72"/>
        <v>31.500307044165872</v>
      </c>
      <c r="AE67" s="60">
        <f t="shared" si="68"/>
        <v>1.6583021929631714</v>
      </c>
      <c r="AF67" s="61">
        <f t="shared" si="73"/>
        <v>6.353533605911475</v>
      </c>
      <c r="AG67" s="62">
        <f t="shared" si="69"/>
        <v>0.17088128706674968</v>
      </c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</row>
    <row r="68" spans="1:65" s="22" customFormat="1" ht="12.75">
      <c r="A68" s="38" t="s">
        <v>73</v>
      </c>
      <c r="B68" s="39">
        <v>14</v>
      </c>
      <c r="C68" s="39">
        <v>85</v>
      </c>
      <c r="D68" s="39">
        <v>5</v>
      </c>
      <c r="E68" s="39">
        <v>25</v>
      </c>
      <c r="F68" s="39">
        <v>6.5</v>
      </c>
      <c r="G68" s="39">
        <v>-25</v>
      </c>
      <c r="H68" s="49">
        <f t="shared" si="70"/>
        <v>1.47861321170763</v>
      </c>
      <c r="I68" s="40">
        <v>2</v>
      </c>
      <c r="J68" s="41">
        <v>1</v>
      </c>
      <c r="K68" s="22">
        <v>600</v>
      </c>
      <c r="L68" s="46">
        <f t="shared" si="71"/>
        <v>30.2062564218835</v>
      </c>
      <c r="M68" s="39">
        <v>120</v>
      </c>
      <c r="N68" s="22">
        <v>12</v>
      </c>
      <c r="O68" s="22">
        <v>4</v>
      </c>
      <c r="P68" s="22">
        <v>800</v>
      </c>
      <c r="Q68" s="22">
        <v>80</v>
      </c>
      <c r="R68" s="49">
        <f t="shared" si="62"/>
        <v>0.9474114173228347</v>
      </c>
      <c r="S68" s="50">
        <f t="shared" si="63"/>
        <v>331660438.59263486</v>
      </c>
      <c r="T68" s="39">
        <v>21.5</v>
      </c>
      <c r="U68" s="54">
        <f t="shared" si="64"/>
        <v>0.37388746340284856</v>
      </c>
      <c r="V68" s="54">
        <f t="shared" si="65"/>
        <v>1.1131940692566635</v>
      </c>
      <c r="W68" s="54">
        <f t="shared" si="66"/>
        <v>0.3358690759577189</v>
      </c>
      <c r="X68" s="55">
        <f t="shared" si="67"/>
        <v>36.54904763612858</v>
      </c>
      <c r="Y68" s="42">
        <v>20</v>
      </c>
      <c r="Z68" s="43">
        <v>2</v>
      </c>
      <c r="AA68" s="43">
        <v>3</v>
      </c>
      <c r="AB68" s="158">
        <f t="shared" si="11"/>
        <v>3.166522954174761</v>
      </c>
      <c r="AC68" s="59">
        <f t="shared" si="12"/>
        <v>28.27431</v>
      </c>
      <c r="AD68" s="59">
        <f t="shared" si="72"/>
        <v>31.500307044165872</v>
      </c>
      <c r="AE68" s="60">
        <f t="shared" si="68"/>
        <v>1.6583021929631714</v>
      </c>
      <c r="AF68" s="61">
        <f t="shared" si="73"/>
        <v>9.394929963062943</v>
      </c>
      <c r="AG68" s="62">
        <f t="shared" si="69"/>
        <v>0.11556233034929825</v>
      </c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</row>
    <row r="69" spans="1:65" s="22" customFormat="1" ht="12.75">
      <c r="A69" s="38" t="s">
        <v>73</v>
      </c>
      <c r="B69" s="39">
        <v>14</v>
      </c>
      <c r="C69" s="39">
        <v>85</v>
      </c>
      <c r="D69" s="39">
        <v>5</v>
      </c>
      <c r="E69" s="39">
        <v>25</v>
      </c>
      <c r="F69" s="39">
        <v>6.5</v>
      </c>
      <c r="G69" s="39">
        <v>-35</v>
      </c>
      <c r="H69" s="49">
        <f t="shared" si="70"/>
        <v>0.5090138838920754</v>
      </c>
      <c r="I69" s="40">
        <v>2</v>
      </c>
      <c r="J69" s="41">
        <v>1</v>
      </c>
      <c r="K69" s="22">
        <v>600</v>
      </c>
      <c r="L69" s="46">
        <f t="shared" si="71"/>
        <v>18.184013042649447</v>
      </c>
      <c r="M69" s="39">
        <v>120</v>
      </c>
      <c r="N69" s="22">
        <v>12</v>
      </c>
      <c r="O69" s="22">
        <v>4</v>
      </c>
      <c r="P69" s="22">
        <v>800</v>
      </c>
      <c r="Q69" s="22">
        <v>80</v>
      </c>
      <c r="R69" s="49">
        <f t="shared" si="62"/>
        <v>0.9474114173228347</v>
      </c>
      <c r="S69" s="50">
        <f t="shared" si="63"/>
        <v>331660438.59263486</v>
      </c>
      <c r="T69" s="39">
        <v>21.5</v>
      </c>
      <c r="U69" s="54">
        <f t="shared" si="64"/>
        <v>0.37388746340284856</v>
      </c>
      <c r="V69" s="54">
        <f t="shared" si="65"/>
        <v>0.6283944053488862</v>
      </c>
      <c r="W69" s="54">
        <f t="shared" si="66"/>
        <v>0.5949885298473738</v>
      </c>
      <c r="X69" s="55">
        <f t="shared" si="67"/>
        <v>27.46039487004263</v>
      </c>
      <c r="Y69" s="42">
        <v>20</v>
      </c>
      <c r="Z69" s="43">
        <v>2</v>
      </c>
      <c r="AA69" s="43">
        <v>3</v>
      </c>
      <c r="AB69" s="158">
        <f t="shared" si="11"/>
        <v>3.166522954174761</v>
      </c>
      <c r="AC69" s="59">
        <f t="shared" si="12"/>
        <v>28.27431</v>
      </c>
      <c r="AD69" s="59">
        <f t="shared" si="72"/>
        <v>31.500307044165872</v>
      </c>
      <c r="AE69" s="60">
        <f t="shared" si="68"/>
        <v>1.6583021929631714</v>
      </c>
      <c r="AF69" s="61">
        <f t="shared" si="73"/>
        <v>12.215284355673946</v>
      </c>
      <c r="AG69" s="62">
        <f t="shared" si="69"/>
        <v>0.08888045242235373</v>
      </c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</row>
    <row r="70" spans="1:65" s="22" customFormat="1" ht="12.75">
      <c r="A70" s="38" t="s">
        <v>73</v>
      </c>
      <c r="B70" s="39">
        <v>14</v>
      </c>
      <c r="C70" s="39">
        <v>85</v>
      </c>
      <c r="D70" s="39">
        <v>5</v>
      </c>
      <c r="E70" s="39">
        <v>25</v>
      </c>
      <c r="F70" s="39">
        <v>6.5</v>
      </c>
      <c r="G70" s="39">
        <v>-45</v>
      </c>
      <c r="H70" s="49">
        <f t="shared" si="70"/>
        <v>0.1752284721544385</v>
      </c>
      <c r="I70" s="40">
        <v>2</v>
      </c>
      <c r="J70" s="41">
        <v>1</v>
      </c>
      <c r="K70" s="22">
        <v>600</v>
      </c>
      <c r="L70" s="46">
        <f t="shared" si="71"/>
        <v>11.418716359235091</v>
      </c>
      <c r="M70" s="39">
        <v>120</v>
      </c>
      <c r="N70" s="22">
        <v>12</v>
      </c>
      <c r="O70" s="22">
        <v>4</v>
      </c>
      <c r="P70" s="22">
        <v>800</v>
      </c>
      <c r="Q70" s="22">
        <v>80</v>
      </c>
      <c r="R70" s="49">
        <f t="shared" si="62"/>
        <v>0.9474114173228347</v>
      </c>
      <c r="S70" s="50">
        <f t="shared" si="63"/>
        <v>331660438.59263486</v>
      </c>
      <c r="T70" s="39">
        <v>21.5</v>
      </c>
      <c r="U70" s="54">
        <f t="shared" si="64"/>
        <v>0.37388746340284856</v>
      </c>
      <c r="V70" s="54">
        <f t="shared" si="65"/>
        <v>0.4615016994800678</v>
      </c>
      <c r="W70" s="54">
        <f t="shared" si="66"/>
        <v>0.8101540337209456</v>
      </c>
      <c r="X70" s="55">
        <f t="shared" si="67"/>
        <v>23.532998945652494</v>
      </c>
      <c r="Y70" s="42">
        <v>20</v>
      </c>
      <c r="Z70" s="43">
        <v>2</v>
      </c>
      <c r="AA70" s="43">
        <v>3</v>
      </c>
      <c r="AB70" s="158">
        <f t="shared" si="11"/>
        <v>3.166522954174761</v>
      </c>
      <c r="AC70" s="59">
        <f t="shared" si="12"/>
        <v>28.27431</v>
      </c>
      <c r="AD70" s="59">
        <f t="shared" si="72"/>
        <v>31.500307044165872</v>
      </c>
      <c r="AE70" s="60">
        <f t="shared" si="68"/>
        <v>1.6583021929631714</v>
      </c>
      <c r="AF70" s="61">
        <f t="shared" si="73"/>
        <v>13.990846050514039</v>
      </c>
      <c r="AG70" s="62">
        <f t="shared" si="69"/>
        <v>0.07760073951782998</v>
      </c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</row>
    <row r="71" spans="1:65" s="22" customFormat="1" ht="12.75">
      <c r="A71" s="38" t="s">
        <v>73</v>
      </c>
      <c r="B71" s="39">
        <v>14</v>
      </c>
      <c r="C71" s="39">
        <v>85</v>
      </c>
      <c r="D71" s="39">
        <v>5</v>
      </c>
      <c r="E71" s="39">
        <v>25</v>
      </c>
      <c r="F71" s="39">
        <v>6.5</v>
      </c>
      <c r="G71" s="39">
        <v>-50</v>
      </c>
      <c r="H71" s="49">
        <f t="shared" si="70"/>
        <v>0.10281161879204269</v>
      </c>
      <c r="I71" s="40">
        <v>2</v>
      </c>
      <c r="J71" s="41">
        <v>1</v>
      </c>
      <c r="K71" s="22">
        <v>600</v>
      </c>
      <c r="L71" s="46">
        <f t="shared" si="71"/>
        <v>9.323999746633717</v>
      </c>
      <c r="M71" s="39">
        <v>120</v>
      </c>
      <c r="N71" s="22">
        <v>12</v>
      </c>
      <c r="O71" s="22">
        <v>4</v>
      </c>
      <c r="P71" s="22">
        <v>800</v>
      </c>
      <c r="Q71" s="22">
        <v>80</v>
      </c>
      <c r="R71" s="49">
        <f t="shared" si="62"/>
        <v>0.9474114173228347</v>
      </c>
      <c r="S71" s="50">
        <f t="shared" si="63"/>
        <v>331660438.59263486</v>
      </c>
      <c r="T71" s="39">
        <v>21.5</v>
      </c>
      <c r="U71" s="54">
        <f t="shared" si="64"/>
        <v>0.37388746340284856</v>
      </c>
      <c r="V71" s="54">
        <f t="shared" si="65"/>
        <v>0.4252932727988699</v>
      </c>
      <c r="W71" s="54">
        <f t="shared" si="66"/>
        <v>0.8791285621385029</v>
      </c>
      <c r="X71" s="55">
        <f t="shared" si="67"/>
        <v>22.590970040231646</v>
      </c>
      <c r="Y71" s="42">
        <v>20</v>
      </c>
      <c r="Z71" s="43">
        <v>2</v>
      </c>
      <c r="AA71" s="43">
        <v>3</v>
      </c>
      <c r="AB71" s="158">
        <f t="shared" si="11"/>
        <v>3.166522954174761</v>
      </c>
      <c r="AC71" s="59">
        <f t="shared" si="12"/>
        <v>28.27431</v>
      </c>
      <c r="AD71" s="59">
        <f t="shared" si="72"/>
        <v>31.500307044165872</v>
      </c>
      <c r="AE71" s="60">
        <f t="shared" si="68"/>
        <v>1.6583021929631714</v>
      </c>
      <c r="AF71" s="61">
        <f t="shared" si="73"/>
        <v>14.489579976926924</v>
      </c>
      <c r="AG71" s="62">
        <f t="shared" si="69"/>
        <v>0.07492970822679877</v>
      </c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</row>
    <row r="72" spans="1:65" s="22" customFormat="1" ht="12.75">
      <c r="A72" s="38" t="s">
        <v>73</v>
      </c>
      <c r="B72" s="39">
        <v>14</v>
      </c>
      <c r="C72" s="39">
        <v>85</v>
      </c>
      <c r="D72" s="39">
        <v>5</v>
      </c>
      <c r="E72" s="39">
        <v>25</v>
      </c>
      <c r="F72" s="39">
        <v>6.5</v>
      </c>
      <c r="G72" s="39">
        <v>-55</v>
      </c>
      <c r="H72" s="49">
        <f t="shared" si="70"/>
        <v>0.06032255391306601</v>
      </c>
      <c r="I72" s="40">
        <v>2</v>
      </c>
      <c r="J72" s="41">
        <v>1</v>
      </c>
      <c r="K72" s="22">
        <v>600</v>
      </c>
      <c r="L72" s="46">
        <f t="shared" si="71"/>
        <v>7.838592497881211</v>
      </c>
      <c r="M72" s="39">
        <v>120</v>
      </c>
      <c r="N72" s="22">
        <v>12</v>
      </c>
      <c r="O72" s="22">
        <v>4</v>
      </c>
      <c r="P72" s="22">
        <v>800</v>
      </c>
      <c r="Q72" s="22">
        <v>80</v>
      </c>
      <c r="R72" s="49">
        <f t="shared" si="62"/>
        <v>0.9474114173228347</v>
      </c>
      <c r="S72" s="50">
        <f t="shared" si="63"/>
        <v>331660438.59263486</v>
      </c>
      <c r="T72" s="39">
        <v>21.5</v>
      </c>
      <c r="U72" s="54">
        <f t="shared" si="64"/>
        <v>0.37388746340284856</v>
      </c>
      <c r="V72" s="54">
        <f t="shared" si="65"/>
        <v>0.40404874035938154</v>
      </c>
      <c r="W72" s="54">
        <f t="shared" si="66"/>
        <v>0.9253523796913561</v>
      </c>
      <c r="X72" s="55">
        <f t="shared" si="67"/>
        <v>22.019502456487473</v>
      </c>
      <c r="Y72" s="42">
        <v>20</v>
      </c>
      <c r="Z72" s="43">
        <v>2</v>
      </c>
      <c r="AA72" s="43">
        <v>3</v>
      </c>
      <c r="AB72" s="158">
        <f t="shared" si="11"/>
        <v>3.166522954174761</v>
      </c>
      <c r="AC72" s="59">
        <f t="shared" si="12"/>
        <v>28.27431</v>
      </c>
      <c r="AD72" s="59">
        <f t="shared" si="72"/>
        <v>31.500307044165872</v>
      </c>
      <c r="AE72" s="60">
        <f t="shared" si="68"/>
        <v>1.6583021929631714</v>
      </c>
      <c r="AF72" s="61">
        <f t="shared" si="73"/>
        <v>14.808246793290637</v>
      </c>
      <c r="AG72" s="62">
        <f t="shared" si="69"/>
        <v>0.07331725457816601</v>
      </c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</row>
    <row r="73" spans="1:65" s="22" customFormat="1" ht="12.75">
      <c r="A73" s="38" t="s">
        <v>73</v>
      </c>
      <c r="B73" s="39">
        <v>14</v>
      </c>
      <c r="C73" s="39">
        <v>85</v>
      </c>
      <c r="D73" s="39">
        <v>5</v>
      </c>
      <c r="E73" s="39">
        <v>25</v>
      </c>
      <c r="F73" s="39">
        <v>6.5</v>
      </c>
      <c r="G73" s="39">
        <v>-65</v>
      </c>
      <c r="H73" s="49">
        <f t="shared" si="70"/>
        <v>0.02076609163942074</v>
      </c>
      <c r="I73" s="40">
        <v>2</v>
      </c>
      <c r="J73" s="41">
        <v>1</v>
      </c>
      <c r="K73" s="22">
        <v>600</v>
      </c>
      <c r="L73" s="46">
        <f t="shared" si="71"/>
        <v>6.140818755154108</v>
      </c>
      <c r="M73" s="39">
        <v>120</v>
      </c>
      <c r="N73" s="22">
        <v>12</v>
      </c>
      <c r="O73" s="22">
        <v>4</v>
      </c>
      <c r="P73" s="22">
        <v>800</v>
      </c>
      <c r="Q73" s="22">
        <v>80</v>
      </c>
      <c r="R73" s="49">
        <f t="shared" si="62"/>
        <v>0.9474114173228347</v>
      </c>
      <c r="S73" s="50">
        <f t="shared" si="63"/>
        <v>331660438.59263486</v>
      </c>
      <c r="T73" s="39">
        <v>21.5</v>
      </c>
      <c r="U73" s="54">
        <f t="shared" si="64"/>
        <v>0.37388746340284856</v>
      </c>
      <c r="V73" s="54">
        <f t="shared" si="65"/>
        <v>0.38427050922255895</v>
      </c>
      <c r="W73" s="54">
        <f t="shared" si="66"/>
        <v>0.9729798525504417</v>
      </c>
      <c r="X73" s="55">
        <f t="shared" si="67"/>
        <v>21.473812215511963</v>
      </c>
      <c r="Y73" s="42">
        <v>20</v>
      </c>
      <c r="Z73" s="43">
        <v>2</v>
      </c>
      <c r="AA73" s="43">
        <v>3</v>
      </c>
      <c r="AB73" s="158">
        <f t="shared" si="11"/>
        <v>3.166522954174761</v>
      </c>
      <c r="AC73" s="59">
        <f t="shared" si="12"/>
        <v>28.27431</v>
      </c>
      <c r="AD73" s="59">
        <f t="shared" si="72"/>
        <v>31.500307044165872</v>
      </c>
      <c r="AE73" s="60">
        <f t="shared" si="68"/>
        <v>1.6583021929631714</v>
      </c>
      <c r="AF73" s="61">
        <f t="shared" si="73"/>
        <v>15.124636439476372</v>
      </c>
      <c r="AG73" s="62">
        <f t="shared" si="69"/>
        <v>0.07178354364712174</v>
      </c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</row>
    <row r="74" spans="1:65" s="22" customFormat="1" ht="12.75">
      <c r="A74" s="38" t="s">
        <v>74</v>
      </c>
      <c r="B74" s="39">
        <v>9</v>
      </c>
      <c r="C74" s="39">
        <v>38</v>
      </c>
      <c r="D74" s="39">
        <v>15</v>
      </c>
      <c r="E74" s="39">
        <v>10</v>
      </c>
      <c r="F74" s="39">
        <v>5.8</v>
      </c>
      <c r="G74" s="39">
        <v>0</v>
      </c>
      <c r="H74" s="49">
        <f aca="true" t="shared" si="74" ref="H74:H89">B74*B74*(E74/16.022)*EXP(0.69315*(G74-25)/F74)</f>
        <v>2.548120306462035</v>
      </c>
      <c r="I74" s="40">
        <v>2</v>
      </c>
      <c r="J74" s="41">
        <v>1</v>
      </c>
      <c r="K74" s="22">
        <v>1200</v>
      </c>
      <c r="L74" s="46">
        <f aca="true" t="shared" si="75" ref="L74:L89">SQRT(K74*H74*J74*J74+D74*D74+(I74*I74-1)/12)</f>
        <v>57.29742025392105</v>
      </c>
      <c r="M74" s="39">
        <v>76</v>
      </c>
      <c r="N74" s="22">
        <v>12</v>
      </c>
      <c r="O74" s="22">
        <v>4</v>
      </c>
      <c r="P74" s="22">
        <v>800</v>
      </c>
      <c r="Q74" s="22">
        <v>80</v>
      </c>
      <c r="R74" s="49">
        <f aca="true" t="shared" si="76" ref="R74:R89">B74*J74/((25.4*M74/206265)*1000)</f>
        <v>0.9616582055532533</v>
      </c>
      <c r="S74" s="50">
        <f aca="true" t="shared" si="77" ref="S74:S89">940*P74*Q74/100*C74/100*3.14159*(N74*N74-O74*O74)/4*2.54*2.54</f>
        <v>148271725.48847204</v>
      </c>
      <c r="T74" s="39">
        <v>20.5</v>
      </c>
      <c r="U74" s="54">
        <f aca="true" t="shared" si="78" ref="U74:U89">(S74*(EXP(-0.4*LN(10)*T74))*R74*R74)/I74</f>
        <v>0.4325833796069793</v>
      </c>
      <c r="V74" s="54">
        <f aca="true" t="shared" si="79" ref="V74:V89">(S74*(EXP(-0.4*LN(10)*T74))*R74*R74+(J74*J74*H74))/I74</f>
        <v>1.7066435328379967</v>
      </c>
      <c r="W74" s="54">
        <f aca="true" t="shared" si="80" ref="W74:W89">U74/V74</f>
        <v>0.25347025977219245</v>
      </c>
      <c r="X74" s="55">
        <f aca="true" t="shared" si="81" ref="X74:X89">SQRT(V74*K74*I74)</f>
        <v>63.99956623924253</v>
      </c>
      <c r="Y74" s="42">
        <v>19</v>
      </c>
      <c r="Z74" s="43">
        <v>2</v>
      </c>
      <c r="AA74" s="43">
        <v>3</v>
      </c>
      <c r="AB74" s="158">
        <f t="shared" si="11"/>
        <v>3.1196115030018015</v>
      </c>
      <c r="AC74" s="59">
        <f t="shared" si="12"/>
        <v>28.27431</v>
      </c>
      <c r="AD74" s="59">
        <f aca="true" t="shared" si="82" ref="AD74:AD89">AC74/(R74*R74)</f>
        <v>30.573878260864202</v>
      </c>
      <c r="AE74" s="60">
        <f aca="true" t="shared" si="83" ref="AE74:AE89">S74*EXP(-0.4*LN(10)*Y74)/I74</f>
        <v>1.8622086771550268</v>
      </c>
      <c r="AF74" s="61">
        <f aca="true" t="shared" si="84" ref="AF74:AF89">SQRT((AE74*K74*I74)/(1+(MAX(1,AD74))*(V74*I74*K74+(I74*I74-1)/12+D74*D74)/(AE74*K74*I74)))</f>
        <v>12.09311336995026</v>
      </c>
      <c r="AG74" s="62">
        <f aca="true" t="shared" si="85" ref="AG74:AG89">1.0857/AF74</f>
        <v>0.08977836945594315</v>
      </c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</row>
    <row r="75" spans="1:65" s="22" customFormat="1" ht="12.75">
      <c r="A75" s="38" t="s">
        <v>74</v>
      </c>
      <c r="B75" s="39">
        <v>9</v>
      </c>
      <c r="C75" s="39">
        <v>38</v>
      </c>
      <c r="D75" s="39">
        <v>15</v>
      </c>
      <c r="E75" s="39">
        <v>10</v>
      </c>
      <c r="F75" s="39">
        <v>5.8</v>
      </c>
      <c r="G75" s="39">
        <v>0</v>
      </c>
      <c r="H75" s="49">
        <f t="shared" si="74"/>
        <v>2.548120306462035</v>
      </c>
      <c r="I75" s="40">
        <v>2</v>
      </c>
      <c r="J75" s="41">
        <v>1</v>
      </c>
      <c r="K75" s="22">
        <v>1200</v>
      </c>
      <c r="L75" s="46">
        <f t="shared" si="75"/>
        <v>57.29742025392105</v>
      </c>
      <c r="M75" s="39">
        <v>76</v>
      </c>
      <c r="N75" s="22">
        <v>12</v>
      </c>
      <c r="O75" s="22">
        <v>4</v>
      </c>
      <c r="P75" s="22">
        <v>800</v>
      </c>
      <c r="Q75" s="22">
        <v>80</v>
      </c>
      <c r="R75" s="49">
        <f t="shared" si="76"/>
        <v>0.9616582055532533</v>
      </c>
      <c r="S75" s="50">
        <f t="shared" si="77"/>
        <v>148271725.48847204</v>
      </c>
      <c r="T75" s="39">
        <v>20.5</v>
      </c>
      <c r="U75" s="54">
        <f t="shared" si="78"/>
        <v>0.4325833796069793</v>
      </c>
      <c r="V75" s="54">
        <f t="shared" si="79"/>
        <v>1.7066435328379967</v>
      </c>
      <c r="W75" s="54">
        <f t="shared" si="80"/>
        <v>0.25347025977219245</v>
      </c>
      <c r="X75" s="55">
        <f t="shared" si="81"/>
        <v>63.99956623924253</v>
      </c>
      <c r="Y75" s="42">
        <v>19</v>
      </c>
      <c r="Z75" s="43">
        <v>2</v>
      </c>
      <c r="AA75" s="43">
        <v>3</v>
      </c>
      <c r="AB75" s="158">
        <f t="shared" si="11"/>
        <v>3.1196115030018015</v>
      </c>
      <c r="AC75" s="59">
        <f t="shared" si="12"/>
        <v>28.27431</v>
      </c>
      <c r="AD75" s="59">
        <f t="shared" si="82"/>
        <v>30.573878260864202</v>
      </c>
      <c r="AE75" s="60">
        <f t="shared" si="83"/>
        <v>1.8622086771550268</v>
      </c>
      <c r="AF75" s="61">
        <f t="shared" si="84"/>
        <v>12.09311336995026</v>
      </c>
      <c r="AG75" s="62">
        <f t="shared" si="85"/>
        <v>0.08977836945594315</v>
      </c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</row>
    <row r="76" spans="1:65" s="22" customFormat="1" ht="12.75">
      <c r="A76" s="38" t="s">
        <v>74</v>
      </c>
      <c r="B76" s="39">
        <v>9</v>
      </c>
      <c r="C76" s="39">
        <v>38</v>
      </c>
      <c r="D76" s="39">
        <v>15</v>
      </c>
      <c r="E76" s="39">
        <v>10</v>
      </c>
      <c r="F76" s="39">
        <v>5.8</v>
      </c>
      <c r="G76" s="39">
        <v>0</v>
      </c>
      <c r="H76" s="49">
        <f t="shared" si="74"/>
        <v>2.548120306462035</v>
      </c>
      <c r="I76" s="40">
        <v>2</v>
      </c>
      <c r="J76" s="41">
        <v>1</v>
      </c>
      <c r="K76" s="22">
        <v>1200</v>
      </c>
      <c r="L76" s="46">
        <f t="shared" si="75"/>
        <v>57.29742025392105</v>
      </c>
      <c r="M76" s="39">
        <v>76</v>
      </c>
      <c r="N76" s="22">
        <v>12</v>
      </c>
      <c r="O76" s="22">
        <v>4</v>
      </c>
      <c r="P76" s="22">
        <v>800</v>
      </c>
      <c r="Q76" s="22">
        <v>80</v>
      </c>
      <c r="R76" s="49">
        <f t="shared" si="76"/>
        <v>0.9616582055532533</v>
      </c>
      <c r="S76" s="50">
        <f t="shared" si="77"/>
        <v>148271725.48847204</v>
      </c>
      <c r="T76" s="39">
        <v>20.5</v>
      </c>
      <c r="U76" s="54">
        <f t="shared" si="78"/>
        <v>0.4325833796069793</v>
      </c>
      <c r="V76" s="54">
        <f t="shared" si="79"/>
        <v>1.7066435328379967</v>
      </c>
      <c r="W76" s="54">
        <f t="shared" si="80"/>
        <v>0.25347025977219245</v>
      </c>
      <c r="X76" s="55">
        <f t="shared" si="81"/>
        <v>63.99956623924253</v>
      </c>
      <c r="Y76" s="42">
        <v>19</v>
      </c>
      <c r="Z76" s="43">
        <v>2</v>
      </c>
      <c r="AA76" s="43">
        <v>3</v>
      </c>
      <c r="AB76" s="158">
        <f t="shared" si="11"/>
        <v>3.1196115030018015</v>
      </c>
      <c r="AC76" s="59">
        <f t="shared" si="12"/>
        <v>28.27431</v>
      </c>
      <c r="AD76" s="59">
        <f t="shared" si="82"/>
        <v>30.573878260864202</v>
      </c>
      <c r="AE76" s="60">
        <f t="shared" si="83"/>
        <v>1.8622086771550268</v>
      </c>
      <c r="AF76" s="61">
        <f t="shared" si="84"/>
        <v>12.09311336995026</v>
      </c>
      <c r="AG76" s="62">
        <f t="shared" si="85"/>
        <v>0.08977836945594315</v>
      </c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</row>
    <row r="77" spans="1:65" s="22" customFormat="1" ht="12.75">
      <c r="A77" s="38" t="s">
        <v>74</v>
      </c>
      <c r="B77" s="39">
        <v>9</v>
      </c>
      <c r="C77" s="39">
        <v>38</v>
      </c>
      <c r="D77" s="39">
        <v>15</v>
      </c>
      <c r="E77" s="39">
        <v>10</v>
      </c>
      <c r="F77" s="39">
        <v>5.8</v>
      </c>
      <c r="G77" s="39">
        <v>0</v>
      </c>
      <c r="H77" s="49">
        <f t="shared" si="74"/>
        <v>2.548120306462035</v>
      </c>
      <c r="I77" s="40">
        <v>2</v>
      </c>
      <c r="J77" s="41">
        <v>1</v>
      </c>
      <c r="K77" s="22">
        <v>1200</v>
      </c>
      <c r="L77" s="46">
        <f t="shared" si="75"/>
        <v>57.29742025392105</v>
      </c>
      <c r="M77" s="39">
        <v>76</v>
      </c>
      <c r="N77" s="22">
        <v>12</v>
      </c>
      <c r="O77" s="22">
        <v>4</v>
      </c>
      <c r="P77" s="22">
        <v>800</v>
      </c>
      <c r="Q77" s="22">
        <v>80</v>
      </c>
      <c r="R77" s="49">
        <f t="shared" si="76"/>
        <v>0.9616582055532533</v>
      </c>
      <c r="S77" s="50">
        <f t="shared" si="77"/>
        <v>148271725.48847204</v>
      </c>
      <c r="T77" s="39">
        <v>20.5</v>
      </c>
      <c r="U77" s="54">
        <f t="shared" si="78"/>
        <v>0.4325833796069793</v>
      </c>
      <c r="V77" s="54">
        <f t="shared" si="79"/>
        <v>1.7066435328379967</v>
      </c>
      <c r="W77" s="54">
        <f t="shared" si="80"/>
        <v>0.25347025977219245</v>
      </c>
      <c r="X77" s="55">
        <f t="shared" si="81"/>
        <v>63.99956623924253</v>
      </c>
      <c r="Y77" s="42">
        <v>19</v>
      </c>
      <c r="Z77" s="43">
        <v>2</v>
      </c>
      <c r="AA77" s="43">
        <v>3</v>
      </c>
      <c r="AB77" s="158">
        <f t="shared" si="11"/>
        <v>3.1196115030018015</v>
      </c>
      <c r="AC77" s="59">
        <f t="shared" si="12"/>
        <v>28.27431</v>
      </c>
      <c r="AD77" s="59">
        <f t="shared" si="82"/>
        <v>30.573878260864202</v>
      </c>
      <c r="AE77" s="60">
        <f t="shared" si="83"/>
        <v>1.8622086771550268</v>
      </c>
      <c r="AF77" s="61">
        <f t="shared" si="84"/>
        <v>12.09311336995026</v>
      </c>
      <c r="AG77" s="62">
        <f t="shared" si="85"/>
        <v>0.08977836945594315</v>
      </c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</row>
    <row r="78" spans="1:65" s="22" customFormat="1" ht="12.75">
      <c r="A78" s="38" t="s">
        <v>74</v>
      </c>
      <c r="B78" s="39">
        <v>9</v>
      </c>
      <c r="C78" s="39">
        <v>38</v>
      </c>
      <c r="D78" s="39">
        <v>15</v>
      </c>
      <c r="E78" s="39">
        <v>10</v>
      </c>
      <c r="F78" s="39">
        <v>5.8</v>
      </c>
      <c r="G78" s="39">
        <v>0</v>
      </c>
      <c r="H78" s="49">
        <f t="shared" si="74"/>
        <v>2.548120306462035</v>
      </c>
      <c r="I78" s="40">
        <v>2</v>
      </c>
      <c r="J78" s="41">
        <v>1</v>
      </c>
      <c r="K78" s="22">
        <v>1200</v>
      </c>
      <c r="L78" s="46">
        <f t="shared" si="75"/>
        <v>57.29742025392105</v>
      </c>
      <c r="M78" s="39">
        <v>76</v>
      </c>
      <c r="N78" s="22">
        <v>12</v>
      </c>
      <c r="O78" s="22">
        <v>4</v>
      </c>
      <c r="P78" s="22">
        <v>800</v>
      </c>
      <c r="Q78" s="22">
        <v>80</v>
      </c>
      <c r="R78" s="49">
        <f t="shared" si="76"/>
        <v>0.9616582055532533</v>
      </c>
      <c r="S78" s="50">
        <f t="shared" si="77"/>
        <v>148271725.48847204</v>
      </c>
      <c r="T78" s="39">
        <v>20.5</v>
      </c>
      <c r="U78" s="54">
        <f t="shared" si="78"/>
        <v>0.4325833796069793</v>
      </c>
      <c r="V78" s="54">
        <f t="shared" si="79"/>
        <v>1.7066435328379967</v>
      </c>
      <c r="W78" s="54">
        <f t="shared" si="80"/>
        <v>0.25347025977219245</v>
      </c>
      <c r="X78" s="55">
        <f t="shared" si="81"/>
        <v>63.99956623924253</v>
      </c>
      <c r="Y78" s="42">
        <v>19</v>
      </c>
      <c r="Z78" s="43">
        <v>2</v>
      </c>
      <c r="AA78" s="43">
        <v>3</v>
      </c>
      <c r="AB78" s="158">
        <f t="shared" si="11"/>
        <v>3.1196115030018015</v>
      </c>
      <c r="AC78" s="59">
        <f t="shared" si="12"/>
        <v>28.27431</v>
      </c>
      <c r="AD78" s="59">
        <f t="shared" si="82"/>
        <v>30.573878260864202</v>
      </c>
      <c r="AE78" s="60">
        <f t="shared" si="83"/>
        <v>1.8622086771550268</v>
      </c>
      <c r="AF78" s="61">
        <f t="shared" si="84"/>
        <v>12.09311336995026</v>
      </c>
      <c r="AG78" s="62">
        <f t="shared" si="85"/>
        <v>0.08977836945594315</v>
      </c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</row>
    <row r="79" spans="1:65" s="22" customFormat="1" ht="12.75">
      <c r="A79" s="38" t="s">
        <v>74</v>
      </c>
      <c r="B79" s="39">
        <v>9</v>
      </c>
      <c r="C79" s="39">
        <v>38</v>
      </c>
      <c r="D79" s="39">
        <v>15</v>
      </c>
      <c r="E79" s="39">
        <v>10</v>
      </c>
      <c r="F79" s="39">
        <v>5.8</v>
      </c>
      <c r="G79" s="39">
        <v>0</v>
      </c>
      <c r="H79" s="49">
        <f t="shared" si="74"/>
        <v>2.548120306462035</v>
      </c>
      <c r="I79" s="40">
        <v>2</v>
      </c>
      <c r="J79" s="41">
        <v>1</v>
      </c>
      <c r="K79" s="22">
        <v>1200</v>
      </c>
      <c r="L79" s="46">
        <f t="shared" si="75"/>
        <v>57.29742025392105</v>
      </c>
      <c r="M79" s="39">
        <v>76</v>
      </c>
      <c r="N79" s="22">
        <v>12</v>
      </c>
      <c r="O79" s="22">
        <v>4</v>
      </c>
      <c r="P79" s="22">
        <v>800</v>
      </c>
      <c r="Q79" s="22">
        <v>80</v>
      </c>
      <c r="R79" s="49">
        <f t="shared" si="76"/>
        <v>0.9616582055532533</v>
      </c>
      <c r="S79" s="50">
        <f t="shared" si="77"/>
        <v>148271725.48847204</v>
      </c>
      <c r="T79" s="39">
        <v>20.5</v>
      </c>
      <c r="U79" s="54">
        <f t="shared" si="78"/>
        <v>0.4325833796069793</v>
      </c>
      <c r="V79" s="54">
        <f t="shared" si="79"/>
        <v>1.7066435328379967</v>
      </c>
      <c r="W79" s="54">
        <f t="shared" si="80"/>
        <v>0.25347025977219245</v>
      </c>
      <c r="X79" s="55">
        <f t="shared" si="81"/>
        <v>63.99956623924253</v>
      </c>
      <c r="Y79" s="42">
        <v>19</v>
      </c>
      <c r="Z79" s="43">
        <v>2</v>
      </c>
      <c r="AA79" s="43">
        <v>3</v>
      </c>
      <c r="AB79" s="158">
        <f t="shared" si="11"/>
        <v>3.1196115030018015</v>
      </c>
      <c r="AC79" s="59">
        <f t="shared" si="12"/>
        <v>28.27431</v>
      </c>
      <c r="AD79" s="59">
        <f t="shared" si="82"/>
        <v>30.573878260864202</v>
      </c>
      <c r="AE79" s="60">
        <f t="shared" si="83"/>
        <v>1.8622086771550268</v>
      </c>
      <c r="AF79" s="61">
        <f t="shared" si="84"/>
        <v>12.09311336995026</v>
      </c>
      <c r="AG79" s="62">
        <f t="shared" si="85"/>
        <v>0.08977836945594315</v>
      </c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</row>
    <row r="80" spans="1:65" s="22" customFormat="1" ht="12.75">
      <c r="A80" s="38" t="s">
        <v>74</v>
      </c>
      <c r="B80" s="39">
        <v>9</v>
      </c>
      <c r="C80" s="39">
        <v>38</v>
      </c>
      <c r="D80" s="39">
        <v>15</v>
      </c>
      <c r="E80" s="39">
        <v>10</v>
      </c>
      <c r="F80" s="39">
        <v>5.8</v>
      </c>
      <c r="G80" s="39">
        <v>0</v>
      </c>
      <c r="H80" s="49">
        <f t="shared" si="74"/>
        <v>2.548120306462035</v>
      </c>
      <c r="I80" s="40">
        <v>2</v>
      </c>
      <c r="J80" s="41">
        <v>1</v>
      </c>
      <c r="K80" s="22">
        <v>1200</v>
      </c>
      <c r="L80" s="46">
        <f t="shared" si="75"/>
        <v>57.29742025392105</v>
      </c>
      <c r="M80" s="39">
        <v>76</v>
      </c>
      <c r="N80" s="22">
        <v>12</v>
      </c>
      <c r="O80" s="22">
        <v>4</v>
      </c>
      <c r="P80" s="22">
        <v>800</v>
      </c>
      <c r="Q80" s="22">
        <v>80</v>
      </c>
      <c r="R80" s="49">
        <f t="shared" si="76"/>
        <v>0.9616582055532533</v>
      </c>
      <c r="S80" s="50">
        <f t="shared" si="77"/>
        <v>148271725.48847204</v>
      </c>
      <c r="T80" s="39">
        <v>20.5</v>
      </c>
      <c r="U80" s="54">
        <f t="shared" si="78"/>
        <v>0.4325833796069793</v>
      </c>
      <c r="V80" s="54">
        <f t="shared" si="79"/>
        <v>1.7066435328379967</v>
      </c>
      <c r="W80" s="54">
        <f t="shared" si="80"/>
        <v>0.25347025977219245</v>
      </c>
      <c r="X80" s="55">
        <f t="shared" si="81"/>
        <v>63.99956623924253</v>
      </c>
      <c r="Y80" s="42">
        <v>19</v>
      </c>
      <c r="Z80" s="43">
        <v>2</v>
      </c>
      <c r="AA80" s="43">
        <v>3</v>
      </c>
      <c r="AB80" s="158">
        <f t="shared" si="11"/>
        <v>3.1196115030018015</v>
      </c>
      <c r="AC80" s="59">
        <f aca="true" t="shared" si="86" ref="AC80:AC143">3.14159*(Z80*Z80/4)*(AA80*AA80)</f>
        <v>28.27431</v>
      </c>
      <c r="AD80" s="59">
        <f t="shared" si="82"/>
        <v>30.573878260864202</v>
      </c>
      <c r="AE80" s="60">
        <f t="shared" si="83"/>
        <v>1.8622086771550268</v>
      </c>
      <c r="AF80" s="61">
        <f t="shared" si="84"/>
        <v>12.09311336995026</v>
      </c>
      <c r="AG80" s="62">
        <f t="shared" si="85"/>
        <v>0.08977836945594315</v>
      </c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</row>
    <row r="81" spans="1:65" s="22" customFormat="1" ht="12.75">
      <c r="A81" s="38" t="s">
        <v>74</v>
      </c>
      <c r="B81" s="39">
        <v>9</v>
      </c>
      <c r="C81" s="39">
        <v>38</v>
      </c>
      <c r="D81" s="39">
        <v>15</v>
      </c>
      <c r="E81" s="39">
        <v>10</v>
      </c>
      <c r="F81" s="39">
        <v>5.8</v>
      </c>
      <c r="G81" s="39">
        <v>0</v>
      </c>
      <c r="H81" s="49">
        <f t="shared" si="74"/>
        <v>2.548120306462035</v>
      </c>
      <c r="I81" s="40">
        <v>2</v>
      </c>
      <c r="J81" s="41">
        <v>1</v>
      </c>
      <c r="K81" s="22">
        <v>1200</v>
      </c>
      <c r="L81" s="46">
        <f t="shared" si="75"/>
        <v>57.29742025392105</v>
      </c>
      <c r="M81" s="39">
        <v>76</v>
      </c>
      <c r="N81" s="22">
        <v>12</v>
      </c>
      <c r="O81" s="22">
        <v>4</v>
      </c>
      <c r="P81" s="22">
        <v>800</v>
      </c>
      <c r="Q81" s="22">
        <v>80</v>
      </c>
      <c r="R81" s="49">
        <f t="shared" si="76"/>
        <v>0.9616582055532533</v>
      </c>
      <c r="S81" s="50">
        <f t="shared" si="77"/>
        <v>148271725.48847204</v>
      </c>
      <c r="T81" s="39">
        <v>20.5</v>
      </c>
      <c r="U81" s="54">
        <f t="shared" si="78"/>
        <v>0.4325833796069793</v>
      </c>
      <c r="V81" s="54">
        <f t="shared" si="79"/>
        <v>1.7066435328379967</v>
      </c>
      <c r="W81" s="54">
        <f t="shared" si="80"/>
        <v>0.25347025977219245</v>
      </c>
      <c r="X81" s="55">
        <f t="shared" si="81"/>
        <v>63.99956623924253</v>
      </c>
      <c r="Y81" s="42">
        <v>19</v>
      </c>
      <c r="Z81" s="43">
        <v>2</v>
      </c>
      <c r="AA81" s="43">
        <v>3</v>
      </c>
      <c r="AB81" s="158">
        <f aca="true" t="shared" si="87" ref="AB81:AB144">AA81*Z81/R81/2</f>
        <v>3.1196115030018015</v>
      </c>
      <c r="AC81" s="59">
        <f t="shared" si="86"/>
        <v>28.27431</v>
      </c>
      <c r="AD81" s="59">
        <f t="shared" si="82"/>
        <v>30.573878260864202</v>
      </c>
      <c r="AE81" s="60">
        <f t="shared" si="83"/>
        <v>1.8622086771550268</v>
      </c>
      <c r="AF81" s="61">
        <f t="shared" si="84"/>
        <v>12.09311336995026</v>
      </c>
      <c r="AG81" s="62">
        <f t="shared" si="85"/>
        <v>0.08977836945594315</v>
      </c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</row>
    <row r="82" spans="1:65" s="22" customFormat="1" ht="12.75">
      <c r="A82" s="38" t="s">
        <v>74</v>
      </c>
      <c r="B82" s="39">
        <v>9</v>
      </c>
      <c r="C82" s="39">
        <v>38</v>
      </c>
      <c r="D82" s="39">
        <v>15</v>
      </c>
      <c r="E82" s="39">
        <v>10</v>
      </c>
      <c r="F82" s="39">
        <v>5.8</v>
      </c>
      <c r="G82" s="39">
        <v>0</v>
      </c>
      <c r="H82" s="49">
        <f t="shared" si="74"/>
        <v>2.548120306462035</v>
      </c>
      <c r="I82" s="40">
        <v>2</v>
      </c>
      <c r="J82" s="41">
        <v>1</v>
      </c>
      <c r="K82" s="22">
        <v>1200</v>
      </c>
      <c r="L82" s="46">
        <f t="shared" si="75"/>
        <v>57.29742025392105</v>
      </c>
      <c r="M82" s="39">
        <v>76</v>
      </c>
      <c r="N82" s="22">
        <v>12</v>
      </c>
      <c r="O82" s="22">
        <v>4</v>
      </c>
      <c r="P82" s="22">
        <v>800</v>
      </c>
      <c r="Q82" s="22">
        <v>80</v>
      </c>
      <c r="R82" s="49">
        <f t="shared" si="76"/>
        <v>0.9616582055532533</v>
      </c>
      <c r="S82" s="50">
        <f t="shared" si="77"/>
        <v>148271725.48847204</v>
      </c>
      <c r="T82" s="39">
        <v>20.5</v>
      </c>
      <c r="U82" s="54">
        <f t="shared" si="78"/>
        <v>0.4325833796069793</v>
      </c>
      <c r="V82" s="54">
        <f t="shared" si="79"/>
        <v>1.7066435328379967</v>
      </c>
      <c r="W82" s="54">
        <f t="shared" si="80"/>
        <v>0.25347025977219245</v>
      </c>
      <c r="X82" s="55">
        <f t="shared" si="81"/>
        <v>63.99956623924253</v>
      </c>
      <c r="Y82" s="42">
        <v>19</v>
      </c>
      <c r="Z82" s="43">
        <v>2</v>
      </c>
      <c r="AA82" s="43">
        <v>3</v>
      </c>
      <c r="AB82" s="158">
        <f t="shared" si="87"/>
        <v>3.1196115030018015</v>
      </c>
      <c r="AC82" s="59">
        <f t="shared" si="86"/>
        <v>28.27431</v>
      </c>
      <c r="AD82" s="59">
        <f t="shared" si="82"/>
        <v>30.573878260864202</v>
      </c>
      <c r="AE82" s="60">
        <f t="shared" si="83"/>
        <v>1.8622086771550268</v>
      </c>
      <c r="AF82" s="61">
        <f t="shared" si="84"/>
        <v>12.09311336995026</v>
      </c>
      <c r="AG82" s="62">
        <f t="shared" si="85"/>
        <v>0.08977836945594315</v>
      </c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</row>
    <row r="83" spans="1:65" s="22" customFormat="1" ht="12.75">
      <c r="A83" s="38" t="s">
        <v>74</v>
      </c>
      <c r="B83" s="39">
        <v>9</v>
      </c>
      <c r="C83" s="39">
        <v>38</v>
      </c>
      <c r="D83" s="39">
        <v>15</v>
      </c>
      <c r="E83" s="39">
        <v>10</v>
      </c>
      <c r="F83" s="39">
        <v>5.8</v>
      </c>
      <c r="G83" s="39">
        <v>-10</v>
      </c>
      <c r="H83" s="49">
        <f t="shared" si="74"/>
        <v>0.77125960173523</v>
      </c>
      <c r="I83" s="40">
        <v>2</v>
      </c>
      <c r="J83" s="41">
        <v>1</v>
      </c>
      <c r="K83" s="22">
        <v>1200</v>
      </c>
      <c r="L83" s="46">
        <f t="shared" si="75"/>
        <v>33.92287608800698</v>
      </c>
      <c r="M83" s="39">
        <v>76</v>
      </c>
      <c r="N83" s="22">
        <v>12</v>
      </c>
      <c r="O83" s="22">
        <v>4</v>
      </c>
      <c r="P83" s="22">
        <v>800</v>
      </c>
      <c r="Q83" s="22">
        <v>80</v>
      </c>
      <c r="R83" s="49">
        <f t="shared" si="76"/>
        <v>0.9616582055532533</v>
      </c>
      <c r="S83" s="50">
        <f t="shared" si="77"/>
        <v>148271725.48847204</v>
      </c>
      <c r="T83" s="39">
        <v>20.5</v>
      </c>
      <c r="U83" s="54">
        <f t="shared" si="78"/>
        <v>0.4325833796069793</v>
      </c>
      <c r="V83" s="54">
        <f t="shared" si="79"/>
        <v>0.8182131804745942</v>
      </c>
      <c r="W83" s="54">
        <f t="shared" si="80"/>
        <v>0.5286927538322772</v>
      </c>
      <c r="X83" s="55">
        <f t="shared" si="81"/>
        <v>44.31378603932445</v>
      </c>
      <c r="Y83" s="42">
        <v>19</v>
      </c>
      <c r="Z83" s="43">
        <v>2</v>
      </c>
      <c r="AA83" s="43">
        <v>3</v>
      </c>
      <c r="AB83" s="158">
        <f t="shared" si="87"/>
        <v>3.1196115030018015</v>
      </c>
      <c r="AC83" s="59">
        <f t="shared" si="86"/>
        <v>28.27431</v>
      </c>
      <c r="AD83" s="59">
        <f t="shared" si="82"/>
        <v>30.573878260864202</v>
      </c>
      <c r="AE83" s="60">
        <f t="shared" si="83"/>
        <v>1.8622086771550268</v>
      </c>
      <c r="AF83" s="61">
        <f t="shared" si="84"/>
        <v>16.726600097823855</v>
      </c>
      <c r="AG83" s="62">
        <f t="shared" si="85"/>
        <v>0.06490858833536951</v>
      </c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</row>
    <row r="84" spans="1:65" s="22" customFormat="1" ht="12.75">
      <c r="A84" s="38" t="s">
        <v>74</v>
      </c>
      <c r="B84" s="39">
        <v>9</v>
      </c>
      <c r="C84" s="39">
        <v>38</v>
      </c>
      <c r="D84" s="39">
        <v>15</v>
      </c>
      <c r="E84" s="39">
        <v>10</v>
      </c>
      <c r="F84" s="39">
        <v>5.8</v>
      </c>
      <c r="G84" s="39">
        <v>-10</v>
      </c>
      <c r="H84" s="49">
        <f t="shared" si="74"/>
        <v>0.77125960173523</v>
      </c>
      <c r="I84" s="40">
        <v>2</v>
      </c>
      <c r="J84" s="41">
        <v>1</v>
      </c>
      <c r="K84" s="22">
        <v>1200</v>
      </c>
      <c r="L84" s="46">
        <f t="shared" si="75"/>
        <v>33.92287608800698</v>
      </c>
      <c r="M84" s="39">
        <v>76</v>
      </c>
      <c r="N84" s="22">
        <v>12</v>
      </c>
      <c r="O84" s="22">
        <v>4</v>
      </c>
      <c r="P84" s="22">
        <v>800</v>
      </c>
      <c r="Q84" s="22">
        <v>80</v>
      </c>
      <c r="R84" s="49">
        <f t="shared" si="76"/>
        <v>0.9616582055532533</v>
      </c>
      <c r="S84" s="50">
        <f t="shared" si="77"/>
        <v>148271725.48847204</v>
      </c>
      <c r="T84" s="39">
        <v>20.5</v>
      </c>
      <c r="U84" s="54">
        <f t="shared" si="78"/>
        <v>0.4325833796069793</v>
      </c>
      <c r="V84" s="54">
        <f t="shared" si="79"/>
        <v>0.8182131804745942</v>
      </c>
      <c r="W84" s="54">
        <f t="shared" si="80"/>
        <v>0.5286927538322772</v>
      </c>
      <c r="X84" s="55">
        <f t="shared" si="81"/>
        <v>44.31378603932445</v>
      </c>
      <c r="Y84" s="42">
        <v>19</v>
      </c>
      <c r="Z84" s="43">
        <v>2</v>
      </c>
      <c r="AA84" s="43">
        <v>3</v>
      </c>
      <c r="AB84" s="158">
        <f t="shared" si="87"/>
        <v>3.1196115030018015</v>
      </c>
      <c r="AC84" s="59">
        <f t="shared" si="86"/>
        <v>28.27431</v>
      </c>
      <c r="AD84" s="59">
        <f t="shared" si="82"/>
        <v>30.573878260864202</v>
      </c>
      <c r="AE84" s="60">
        <f t="shared" si="83"/>
        <v>1.8622086771550268</v>
      </c>
      <c r="AF84" s="61">
        <f t="shared" si="84"/>
        <v>16.726600097823855</v>
      </c>
      <c r="AG84" s="62">
        <f t="shared" si="85"/>
        <v>0.06490858833536951</v>
      </c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</row>
    <row r="85" spans="1:65" s="22" customFormat="1" ht="12.75">
      <c r="A85" s="38" t="s">
        <v>74</v>
      </c>
      <c r="B85" s="39">
        <v>9</v>
      </c>
      <c r="C85" s="39">
        <v>38</v>
      </c>
      <c r="D85" s="39">
        <v>15</v>
      </c>
      <c r="E85" s="39">
        <v>10</v>
      </c>
      <c r="F85" s="39">
        <v>5.8</v>
      </c>
      <c r="G85" s="39">
        <v>-10</v>
      </c>
      <c r="H85" s="49">
        <f t="shared" si="74"/>
        <v>0.77125960173523</v>
      </c>
      <c r="I85" s="40">
        <v>2</v>
      </c>
      <c r="J85" s="41">
        <v>1</v>
      </c>
      <c r="K85" s="22">
        <v>1200</v>
      </c>
      <c r="L85" s="46">
        <f t="shared" si="75"/>
        <v>33.92287608800698</v>
      </c>
      <c r="M85" s="39">
        <v>76</v>
      </c>
      <c r="N85" s="22">
        <v>12</v>
      </c>
      <c r="O85" s="22">
        <v>4</v>
      </c>
      <c r="P85" s="22">
        <v>800</v>
      </c>
      <c r="Q85" s="22">
        <v>80</v>
      </c>
      <c r="R85" s="49">
        <f t="shared" si="76"/>
        <v>0.9616582055532533</v>
      </c>
      <c r="S85" s="50">
        <f t="shared" si="77"/>
        <v>148271725.48847204</v>
      </c>
      <c r="T85" s="39">
        <v>20.5</v>
      </c>
      <c r="U85" s="54">
        <f t="shared" si="78"/>
        <v>0.4325833796069793</v>
      </c>
      <c r="V85" s="54">
        <f t="shared" si="79"/>
        <v>0.8182131804745942</v>
      </c>
      <c r="W85" s="54">
        <f t="shared" si="80"/>
        <v>0.5286927538322772</v>
      </c>
      <c r="X85" s="55">
        <f t="shared" si="81"/>
        <v>44.31378603932445</v>
      </c>
      <c r="Y85" s="42">
        <v>19</v>
      </c>
      <c r="Z85" s="43">
        <v>2</v>
      </c>
      <c r="AA85" s="43">
        <v>3</v>
      </c>
      <c r="AB85" s="158">
        <f t="shared" si="87"/>
        <v>3.1196115030018015</v>
      </c>
      <c r="AC85" s="59">
        <f t="shared" si="86"/>
        <v>28.27431</v>
      </c>
      <c r="AD85" s="59">
        <f t="shared" si="82"/>
        <v>30.573878260864202</v>
      </c>
      <c r="AE85" s="60">
        <f t="shared" si="83"/>
        <v>1.8622086771550268</v>
      </c>
      <c r="AF85" s="61">
        <f t="shared" si="84"/>
        <v>16.726600097823855</v>
      </c>
      <c r="AG85" s="62">
        <f t="shared" si="85"/>
        <v>0.06490858833536951</v>
      </c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</row>
    <row r="86" spans="1:65" s="22" customFormat="1" ht="12.75">
      <c r="A86" s="38" t="s">
        <v>74</v>
      </c>
      <c r="B86" s="39">
        <v>9</v>
      </c>
      <c r="C86" s="39">
        <v>38</v>
      </c>
      <c r="D86" s="39">
        <v>15</v>
      </c>
      <c r="E86" s="39">
        <v>10</v>
      </c>
      <c r="F86" s="39">
        <v>5.8</v>
      </c>
      <c r="G86" s="39">
        <v>-10</v>
      </c>
      <c r="H86" s="49">
        <f t="shared" si="74"/>
        <v>0.77125960173523</v>
      </c>
      <c r="I86" s="40">
        <v>2</v>
      </c>
      <c r="J86" s="41">
        <v>1</v>
      </c>
      <c r="K86" s="22">
        <v>1200</v>
      </c>
      <c r="L86" s="46">
        <f t="shared" si="75"/>
        <v>33.92287608800698</v>
      </c>
      <c r="M86" s="39">
        <v>76</v>
      </c>
      <c r="N86" s="22">
        <v>12</v>
      </c>
      <c r="O86" s="22">
        <v>4</v>
      </c>
      <c r="P86" s="22">
        <v>800</v>
      </c>
      <c r="Q86" s="22">
        <v>80</v>
      </c>
      <c r="R86" s="49">
        <f t="shared" si="76"/>
        <v>0.9616582055532533</v>
      </c>
      <c r="S86" s="50">
        <f t="shared" si="77"/>
        <v>148271725.48847204</v>
      </c>
      <c r="T86" s="39">
        <v>20.5</v>
      </c>
      <c r="U86" s="54">
        <f t="shared" si="78"/>
        <v>0.4325833796069793</v>
      </c>
      <c r="V86" s="54">
        <f t="shared" si="79"/>
        <v>0.8182131804745942</v>
      </c>
      <c r="W86" s="54">
        <f t="shared" si="80"/>
        <v>0.5286927538322772</v>
      </c>
      <c r="X86" s="55">
        <f t="shared" si="81"/>
        <v>44.31378603932445</v>
      </c>
      <c r="Y86" s="42">
        <v>19</v>
      </c>
      <c r="Z86" s="43">
        <v>2</v>
      </c>
      <c r="AA86" s="43">
        <v>3</v>
      </c>
      <c r="AB86" s="158">
        <f t="shared" si="87"/>
        <v>3.1196115030018015</v>
      </c>
      <c r="AC86" s="59">
        <f t="shared" si="86"/>
        <v>28.27431</v>
      </c>
      <c r="AD86" s="59">
        <f t="shared" si="82"/>
        <v>30.573878260864202</v>
      </c>
      <c r="AE86" s="60">
        <f t="shared" si="83"/>
        <v>1.8622086771550268</v>
      </c>
      <c r="AF86" s="61">
        <f t="shared" si="84"/>
        <v>16.726600097823855</v>
      </c>
      <c r="AG86" s="62">
        <f t="shared" si="85"/>
        <v>0.06490858833536951</v>
      </c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</row>
    <row r="87" spans="1:65" s="22" customFormat="1" ht="12.75">
      <c r="A87" s="38" t="s">
        <v>74</v>
      </c>
      <c r="B87" s="39">
        <v>9</v>
      </c>
      <c r="C87" s="39">
        <v>38</v>
      </c>
      <c r="D87" s="39">
        <v>15</v>
      </c>
      <c r="E87" s="39">
        <v>10</v>
      </c>
      <c r="F87" s="39">
        <v>5.8</v>
      </c>
      <c r="G87" s="39">
        <v>-10</v>
      </c>
      <c r="H87" s="49">
        <f t="shared" si="74"/>
        <v>0.77125960173523</v>
      </c>
      <c r="I87" s="40">
        <v>2</v>
      </c>
      <c r="J87" s="41">
        <v>1</v>
      </c>
      <c r="K87" s="22">
        <v>1200</v>
      </c>
      <c r="L87" s="46">
        <f t="shared" si="75"/>
        <v>33.92287608800698</v>
      </c>
      <c r="M87" s="39">
        <v>76</v>
      </c>
      <c r="N87" s="22">
        <v>12</v>
      </c>
      <c r="O87" s="22">
        <v>4</v>
      </c>
      <c r="P87" s="22">
        <v>800</v>
      </c>
      <c r="Q87" s="22">
        <v>80</v>
      </c>
      <c r="R87" s="49">
        <f t="shared" si="76"/>
        <v>0.9616582055532533</v>
      </c>
      <c r="S87" s="50">
        <f t="shared" si="77"/>
        <v>148271725.48847204</v>
      </c>
      <c r="T87" s="39">
        <v>20.5</v>
      </c>
      <c r="U87" s="54">
        <f t="shared" si="78"/>
        <v>0.4325833796069793</v>
      </c>
      <c r="V87" s="54">
        <f t="shared" si="79"/>
        <v>0.8182131804745942</v>
      </c>
      <c r="W87" s="54">
        <f t="shared" si="80"/>
        <v>0.5286927538322772</v>
      </c>
      <c r="X87" s="55">
        <f t="shared" si="81"/>
        <v>44.31378603932445</v>
      </c>
      <c r="Y87" s="42">
        <v>19</v>
      </c>
      <c r="Z87" s="43">
        <v>2</v>
      </c>
      <c r="AA87" s="43">
        <v>3</v>
      </c>
      <c r="AB87" s="158">
        <f t="shared" si="87"/>
        <v>3.1196115030018015</v>
      </c>
      <c r="AC87" s="59">
        <f t="shared" si="86"/>
        <v>28.27431</v>
      </c>
      <c r="AD87" s="59">
        <f t="shared" si="82"/>
        <v>30.573878260864202</v>
      </c>
      <c r="AE87" s="60">
        <f t="shared" si="83"/>
        <v>1.8622086771550268</v>
      </c>
      <c r="AF87" s="61">
        <f t="shared" si="84"/>
        <v>16.726600097823855</v>
      </c>
      <c r="AG87" s="62">
        <f t="shared" si="85"/>
        <v>0.06490858833536951</v>
      </c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</row>
    <row r="88" spans="1:65" s="22" customFormat="1" ht="12.75">
      <c r="A88" s="38" t="s">
        <v>74</v>
      </c>
      <c r="B88" s="39">
        <v>9</v>
      </c>
      <c r="C88" s="39">
        <v>38</v>
      </c>
      <c r="D88" s="39">
        <v>15</v>
      </c>
      <c r="E88" s="39">
        <v>10</v>
      </c>
      <c r="F88" s="39">
        <v>5.8</v>
      </c>
      <c r="G88" s="39">
        <v>-10</v>
      </c>
      <c r="H88" s="49">
        <f t="shared" si="74"/>
        <v>0.77125960173523</v>
      </c>
      <c r="I88" s="40">
        <v>2</v>
      </c>
      <c r="J88" s="41">
        <v>1</v>
      </c>
      <c r="K88" s="22">
        <v>1200</v>
      </c>
      <c r="L88" s="46">
        <f t="shared" si="75"/>
        <v>33.92287608800698</v>
      </c>
      <c r="M88" s="39">
        <v>76</v>
      </c>
      <c r="N88" s="22">
        <v>12</v>
      </c>
      <c r="O88" s="22">
        <v>4</v>
      </c>
      <c r="P88" s="22">
        <v>800</v>
      </c>
      <c r="Q88" s="22">
        <v>80</v>
      </c>
      <c r="R88" s="49">
        <f t="shared" si="76"/>
        <v>0.9616582055532533</v>
      </c>
      <c r="S88" s="50">
        <f t="shared" si="77"/>
        <v>148271725.48847204</v>
      </c>
      <c r="T88" s="39">
        <v>20.5</v>
      </c>
      <c r="U88" s="54">
        <f t="shared" si="78"/>
        <v>0.4325833796069793</v>
      </c>
      <c r="V88" s="54">
        <f t="shared" si="79"/>
        <v>0.8182131804745942</v>
      </c>
      <c r="W88" s="54">
        <f t="shared" si="80"/>
        <v>0.5286927538322772</v>
      </c>
      <c r="X88" s="55">
        <f t="shared" si="81"/>
        <v>44.31378603932445</v>
      </c>
      <c r="Y88" s="42">
        <v>19</v>
      </c>
      <c r="Z88" s="43">
        <v>2</v>
      </c>
      <c r="AA88" s="43">
        <v>3</v>
      </c>
      <c r="AB88" s="158">
        <f t="shared" si="87"/>
        <v>3.1196115030018015</v>
      </c>
      <c r="AC88" s="59">
        <f t="shared" si="86"/>
        <v>28.27431</v>
      </c>
      <c r="AD88" s="59">
        <f t="shared" si="82"/>
        <v>30.573878260864202</v>
      </c>
      <c r="AE88" s="60">
        <f t="shared" si="83"/>
        <v>1.8622086771550268</v>
      </c>
      <c r="AF88" s="61">
        <f t="shared" si="84"/>
        <v>16.726600097823855</v>
      </c>
      <c r="AG88" s="62">
        <f t="shared" si="85"/>
        <v>0.06490858833536951</v>
      </c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</row>
    <row r="89" spans="1:65" s="22" customFormat="1" ht="12.75">
      <c r="A89" s="38" t="s">
        <v>74</v>
      </c>
      <c r="B89" s="39">
        <v>9</v>
      </c>
      <c r="C89" s="39">
        <v>38</v>
      </c>
      <c r="D89" s="39">
        <v>15</v>
      </c>
      <c r="E89" s="39">
        <v>10</v>
      </c>
      <c r="F89" s="39">
        <v>5.8</v>
      </c>
      <c r="G89" s="39">
        <v>-10</v>
      </c>
      <c r="H89" s="49">
        <f t="shared" si="74"/>
        <v>0.77125960173523</v>
      </c>
      <c r="I89" s="40">
        <v>2</v>
      </c>
      <c r="J89" s="41">
        <v>1</v>
      </c>
      <c r="K89" s="22">
        <v>1200</v>
      </c>
      <c r="L89" s="46">
        <f t="shared" si="75"/>
        <v>33.92287608800698</v>
      </c>
      <c r="M89" s="39">
        <v>76</v>
      </c>
      <c r="N89" s="22">
        <v>12</v>
      </c>
      <c r="O89" s="22">
        <v>4</v>
      </c>
      <c r="P89" s="22">
        <v>800</v>
      </c>
      <c r="Q89" s="22">
        <v>80</v>
      </c>
      <c r="R89" s="49">
        <f t="shared" si="76"/>
        <v>0.9616582055532533</v>
      </c>
      <c r="S89" s="50">
        <f t="shared" si="77"/>
        <v>148271725.48847204</v>
      </c>
      <c r="T89" s="39">
        <v>20.5</v>
      </c>
      <c r="U89" s="54">
        <f t="shared" si="78"/>
        <v>0.4325833796069793</v>
      </c>
      <c r="V89" s="54">
        <f t="shared" si="79"/>
        <v>0.8182131804745942</v>
      </c>
      <c r="W89" s="54">
        <f t="shared" si="80"/>
        <v>0.5286927538322772</v>
      </c>
      <c r="X89" s="55">
        <f t="shared" si="81"/>
        <v>44.31378603932445</v>
      </c>
      <c r="Y89" s="42">
        <v>19</v>
      </c>
      <c r="Z89" s="43">
        <v>2</v>
      </c>
      <c r="AA89" s="43">
        <v>3</v>
      </c>
      <c r="AB89" s="158">
        <f t="shared" si="87"/>
        <v>3.1196115030018015</v>
      </c>
      <c r="AC89" s="59">
        <f t="shared" si="86"/>
        <v>28.27431</v>
      </c>
      <c r="AD89" s="59">
        <f t="shared" si="82"/>
        <v>30.573878260864202</v>
      </c>
      <c r="AE89" s="60">
        <f t="shared" si="83"/>
        <v>1.8622086771550268</v>
      </c>
      <c r="AF89" s="61">
        <f t="shared" si="84"/>
        <v>16.726600097823855</v>
      </c>
      <c r="AG89" s="62">
        <f t="shared" si="85"/>
        <v>0.06490858833536951</v>
      </c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</row>
    <row r="90" spans="1:65" s="22" customFormat="1" ht="12.75">
      <c r="A90" s="38" t="s">
        <v>74</v>
      </c>
      <c r="B90" s="39">
        <v>9</v>
      </c>
      <c r="C90" s="39">
        <v>38</v>
      </c>
      <c r="D90" s="39">
        <v>15</v>
      </c>
      <c r="E90" s="39">
        <v>10</v>
      </c>
      <c r="F90" s="39">
        <v>5.8</v>
      </c>
      <c r="G90" s="39">
        <v>-10</v>
      </c>
      <c r="H90" s="49">
        <f>B90*B90*(E90/16.022)*EXP(0.69315*(G90-25)/F90)</f>
        <v>0.77125960173523</v>
      </c>
      <c r="I90" s="40">
        <v>2</v>
      </c>
      <c r="J90" s="41">
        <v>1</v>
      </c>
      <c r="K90" s="22">
        <v>1200</v>
      </c>
      <c r="L90" s="46">
        <f>SQRT(K90*H90*J90*J90+D90*D90+(I90*I90-1)/12)</f>
        <v>33.92287608800698</v>
      </c>
      <c r="M90" s="39">
        <v>76</v>
      </c>
      <c r="N90" s="22">
        <v>12</v>
      </c>
      <c r="O90" s="22">
        <v>4</v>
      </c>
      <c r="P90" s="22">
        <v>800</v>
      </c>
      <c r="Q90" s="22">
        <v>80</v>
      </c>
      <c r="R90" s="49">
        <f>B90*J90/((25.4*M90/206265)*1000)</f>
        <v>0.9616582055532533</v>
      </c>
      <c r="S90" s="50">
        <f>940*P90*Q90/100*C90/100*3.14159*(N90*N90-O90*O90)/4*2.54*2.54</f>
        <v>148271725.48847204</v>
      </c>
      <c r="T90" s="39">
        <v>20.5</v>
      </c>
      <c r="U90" s="54">
        <f>(S90*(EXP(-0.4*LN(10)*T90))*R90*R90)/I90</f>
        <v>0.4325833796069793</v>
      </c>
      <c r="V90" s="54">
        <f>(S90*(EXP(-0.4*LN(10)*T90))*R90*R90+(J90*J90*H90))/I90</f>
        <v>0.8182131804745942</v>
      </c>
      <c r="W90" s="54">
        <f>U90/V90</f>
        <v>0.5286927538322772</v>
      </c>
      <c r="X90" s="55">
        <f>SQRT(V90*K90*I90)</f>
        <v>44.31378603932445</v>
      </c>
      <c r="Y90" s="42">
        <v>19</v>
      </c>
      <c r="Z90" s="43">
        <v>2</v>
      </c>
      <c r="AA90" s="43">
        <v>3</v>
      </c>
      <c r="AB90" s="158">
        <f t="shared" si="87"/>
        <v>3.1196115030018015</v>
      </c>
      <c r="AC90" s="59">
        <f t="shared" si="86"/>
        <v>28.27431</v>
      </c>
      <c r="AD90" s="59">
        <f>AC90/(R90*R90)</f>
        <v>30.573878260864202</v>
      </c>
      <c r="AE90" s="60">
        <f>S90*EXP(-0.4*LN(10)*Y90)/I90</f>
        <v>1.8622086771550268</v>
      </c>
      <c r="AF90" s="61">
        <f>SQRT((AE90*K90*I90)/(1+(MAX(1,AD90))*(V90*I90*K90+(I90*I90-1)/12+D90*D90)/(AE90*K90*I90)))</f>
        <v>16.726600097823855</v>
      </c>
      <c r="AG90" s="62">
        <f>1.0857/AF90</f>
        <v>0.06490858833536951</v>
      </c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</row>
    <row r="91" spans="1:65" s="22" customFormat="1" ht="12.75">
      <c r="A91" s="38" t="s">
        <v>74</v>
      </c>
      <c r="B91" s="39">
        <v>9</v>
      </c>
      <c r="C91" s="39">
        <v>38</v>
      </c>
      <c r="D91" s="39">
        <v>15</v>
      </c>
      <c r="E91" s="39">
        <v>10</v>
      </c>
      <c r="F91" s="39">
        <v>5.8</v>
      </c>
      <c r="G91" s="39">
        <v>-10</v>
      </c>
      <c r="H91" s="49">
        <f>B91*B91*(E91/16.022)*EXP(0.69315*(G91-25)/F91)</f>
        <v>0.77125960173523</v>
      </c>
      <c r="I91" s="40">
        <v>2</v>
      </c>
      <c r="J91" s="41">
        <v>1</v>
      </c>
      <c r="K91" s="22">
        <v>1200</v>
      </c>
      <c r="L91" s="46">
        <f>SQRT(K91*H91*J91*J91+D91*D91+(I91*I91-1)/12)</f>
        <v>33.92287608800698</v>
      </c>
      <c r="M91" s="39">
        <v>76</v>
      </c>
      <c r="N91" s="22">
        <v>12</v>
      </c>
      <c r="O91" s="22">
        <v>4</v>
      </c>
      <c r="P91" s="22">
        <v>800</v>
      </c>
      <c r="Q91" s="22">
        <v>80</v>
      </c>
      <c r="R91" s="49">
        <f>B91*J91/((25.4*M91/206265)*1000)</f>
        <v>0.9616582055532533</v>
      </c>
      <c r="S91" s="50">
        <f>940*P91*Q91/100*C91/100*3.14159*(N91*N91-O91*O91)/4*2.54*2.54</f>
        <v>148271725.48847204</v>
      </c>
      <c r="T91" s="39">
        <v>20.5</v>
      </c>
      <c r="U91" s="54">
        <f>(S91*(EXP(-0.4*LN(10)*T91))*R91*R91)/I91</f>
        <v>0.4325833796069793</v>
      </c>
      <c r="V91" s="54">
        <f>(S91*(EXP(-0.4*LN(10)*T91))*R91*R91+(J91*J91*H91))/I91</f>
        <v>0.8182131804745942</v>
      </c>
      <c r="W91" s="54">
        <f>U91/V91</f>
        <v>0.5286927538322772</v>
      </c>
      <c r="X91" s="55">
        <f>SQRT(V91*K91*I91)</f>
        <v>44.31378603932445</v>
      </c>
      <c r="Y91" s="42">
        <v>19</v>
      </c>
      <c r="Z91" s="43">
        <v>2</v>
      </c>
      <c r="AA91" s="43">
        <v>3</v>
      </c>
      <c r="AB91" s="158">
        <f t="shared" si="87"/>
        <v>3.1196115030018015</v>
      </c>
      <c r="AC91" s="59">
        <f t="shared" si="86"/>
        <v>28.27431</v>
      </c>
      <c r="AD91" s="59">
        <f>AC91/(R91*R91)</f>
        <v>30.573878260864202</v>
      </c>
      <c r="AE91" s="60">
        <f>S91*EXP(-0.4*LN(10)*Y91)/I91</f>
        <v>1.8622086771550268</v>
      </c>
      <c r="AF91" s="61">
        <f>SQRT((AE91*K91*I91)/(1+(MAX(1,AD91))*(V91*I91*K91+(I91*I91-1)/12+D91*D91)/(AE91*K91*I91)))</f>
        <v>16.726600097823855</v>
      </c>
      <c r="AG91" s="62">
        <f>1.0857/AF91</f>
        <v>0.06490858833536951</v>
      </c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</row>
    <row r="92" spans="1:65" s="22" customFormat="1" ht="12.75">
      <c r="A92" s="38" t="s">
        <v>74</v>
      </c>
      <c r="B92" s="39">
        <v>9</v>
      </c>
      <c r="C92" s="39">
        <v>60</v>
      </c>
      <c r="D92" s="39">
        <v>15</v>
      </c>
      <c r="E92" s="39">
        <v>10</v>
      </c>
      <c r="F92" s="39">
        <v>5.8</v>
      </c>
      <c r="G92" s="39">
        <v>0</v>
      </c>
      <c r="H92" s="49">
        <f aca="true" t="shared" si="88" ref="H92:H98">B92*B92*(E92/16.022)*EXP(0.69315*(G92-25)/F92)</f>
        <v>2.548120306462035</v>
      </c>
      <c r="I92" s="40">
        <v>2</v>
      </c>
      <c r="J92" s="41">
        <v>1</v>
      </c>
      <c r="K92" s="22">
        <v>1200</v>
      </c>
      <c r="L92" s="46">
        <f aca="true" t="shared" si="89" ref="L92:L97">SQRT(K92*H92*J92*J92+D92*D92+(I92*I92-1)/12)</f>
        <v>57.29742025392105</v>
      </c>
      <c r="M92" s="39">
        <v>76</v>
      </c>
      <c r="N92" s="22">
        <v>12</v>
      </c>
      <c r="O92" s="22">
        <v>4</v>
      </c>
      <c r="P92" s="22">
        <v>800</v>
      </c>
      <c r="Q92" s="22">
        <v>80</v>
      </c>
      <c r="R92" s="49">
        <f aca="true" t="shared" si="90" ref="R92:R98">B92*J92/((25.4*M92/206265)*1000)</f>
        <v>0.9616582055532533</v>
      </c>
      <c r="S92" s="50">
        <f aca="true" t="shared" si="91" ref="S92:S98">940*P92*Q92/100*C92/100*3.14159*(N92*N92-O92*O92)/4*2.54*2.54</f>
        <v>234113250.77127168</v>
      </c>
      <c r="T92" s="39">
        <v>20.5</v>
      </c>
      <c r="U92" s="54">
        <f aca="true" t="shared" si="92" ref="U92:U98">(S92*(EXP(-0.4*LN(10)*T92))*R92*R92)/I92</f>
        <v>0.6830263888531253</v>
      </c>
      <c r="V92" s="54">
        <f aca="true" t="shared" si="93" ref="V92:V98">(S92*(EXP(-0.4*LN(10)*T92))*R92*R92+(J92*J92*H92))/I92</f>
        <v>1.9570865420841428</v>
      </c>
      <c r="W92" s="54">
        <f aca="true" t="shared" si="94" ref="W92:W98">U92/V92</f>
        <v>0.3490016277592692</v>
      </c>
      <c r="X92" s="55">
        <f aca="true" t="shared" si="95" ref="X92:X98">SQRT(V92*K92*I92)</f>
        <v>68.53471894596157</v>
      </c>
      <c r="Y92" s="42">
        <v>19</v>
      </c>
      <c r="Z92" s="43">
        <v>2</v>
      </c>
      <c r="AA92" s="43">
        <v>3</v>
      </c>
      <c r="AB92" s="158">
        <f t="shared" si="87"/>
        <v>3.1196115030018015</v>
      </c>
      <c r="AC92" s="59">
        <f t="shared" si="86"/>
        <v>28.27431</v>
      </c>
      <c r="AD92" s="59">
        <f aca="true" t="shared" si="96" ref="AD92:AD98">AC92/(R92*R92)</f>
        <v>30.573878260864202</v>
      </c>
      <c r="AE92" s="60">
        <f aca="true" t="shared" si="97" ref="AE92:AE98">S92*EXP(-0.4*LN(10)*Y92)/I92</f>
        <v>2.9403294902447796</v>
      </c>
      <c r="AF92" s="61">
        <f aca="true" t="shared" si="98" ref="AF92:AF98">SQRT((AE92*K92*I92)/(1+(MAX(1,AD92))*(V92*I92*K92+(I92*I92-1)/12+D92*D92)/(AE92*K92*I92)))</f>
        <v>17.778659181401142</v>
      </c>
      <c r="AG92" s="62">
        <f aca="true" t="shared" si="99" ref="AG92:AG98">1.0857/AF92</f>
        <v>0.061067597332412314</v>
      </c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</row>
    <row r="93" spans="1:65" s="22" customFormat="1" ht="12.75">
      <c r="A93" s="38" t="s">
        <v>74</v>
      </c>
      <c r="B93" s="39">
        <v>9</v>
      </c>
      <c r="C93" s="39">
        <v>60</v>
      </c>
      <c r="D93" s="39">
        <v>15</v>
      </c>
      <c r="E93" s="39">
        <v>10</v>
      </c>
      <c r="F93" s="39">
        <v>5.8</v>
      </c>
      <c r="G93" s="39">
        <v>0</v>
      </c>
      <c r="H93" s="49">
        <f t="shared" si="88"/>
        <v>2.548120306462035</v>
      </c>
      <c r="I93" s="40">
        <v>2</v>
      </c>
      <c r="J93" s="41">
        <v>1</v>
      </c>
      <c r="K93" s="22">
        <v>1200</v>
      </c>
      <c r="L93" s="46">
        <f t="shared" si="89"/>
        <v>57.29742025392105</v>
      </c>
      <c r="M93" s="39">
        <v>76</v>
      </c>
      <c r="N93" s="22">
        <v>12</v>
      </c>
      <c r="O93" s="22">
        <v>4</v>
      </c>
      <c r="P93" s="22">
        <v>800</v>
      </c>
      <c r="Q93" s="22">
        <v>80</v>
      </c>
      <c r="R93" s="49">
        <f t="shared" si="90"/>
        <v>0.9616582055532533</v>
      </c>
      <c r="S93" s="50">
        <f t="shared" si="91"/>
        <v>234113250.77127168</v>
      </c>
      <c r="T93" s="39">
        <v>20.5</v>
      </c>
      <c r="U93" s="54">
        <f t="shared" si="92"/>
        <v>0.6830263888531253</v>
      </c>
      <c r="V93" s="54">
        <f t="shared" si="93"/>
        <v>1.9570865420841428</v>
      </c>
      <c r="W93" s="54">
        <f t="shared" si="94"/>
        <v>0.3490016277592692</v>
      </c>
      <c r="X93" s="55">
        <f t="shared" si="95"/>
        <v>68.53471894596157</v>
      </c>
      <c r="Y93" s="42">
        <v>19</v>
      </c>
      <c r="Z93" s="43">
        <v>2</v>
      </c>
      <c r="AA93" s="43">
        <v>3</v>
      </c>
      <c r="AB93" s="158">
        <f t="shared" si="87"/>
        <v>3.1196115030018015</v>
      </c>
      <c r="AC93" s="59">
        <f t="shared" si="86"/>
        <v>28.27431</v>
      </c>
      <c r="AD93" s="59">
        <f t="shared" si="96"/>
        <v>30.573878260864202</v>
      </c>
      <c r="AE93" s="60">
        <f t="shared" si="97"/>
        <v>2.9403294902447796</v>
      </c>
      <c r="AF93" s="61">
        <f t="shared" si="98"/>
        <v>17.778659181401142</v>
      </c>
      <c r="AG93" s="62">
        <f t="shared" si="99"/>
        <v>0.061067597332412314</v>
      </c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</row>
    <row r="94" spans="1:65" s="22" customFormat="1" ht="12.75">
      <c r="A94" s="38" t="s">
        <v>74</v>
      </c>
      <c r="B94" s="39">
        <v>9</v>
      </c>
      <c r="C94" s="39">
        <v>60</v>
      </c>
      <c r="D94" s="39">
        <v>15</v>
      </c>
      <c r="E94" s="39">
        <v>10</v>
      </c>
      <c r="F94" s="39">
        <v>5.8</v>
      </c>
      <c r="G94" s="39">
        <v>0</v>
      </c>
      <c r="H94" s="49">
        <f t="shared" si="88"/>
        <v>2.548120306462035</v>
      </c>
      <c r="I94" s="40">
        <v>2</v>
      </c>
      <c r="J94" s="41">
        <v>1</v>
      </c>
      <c r="K94" s="22">
        <v>1200</v>
      </c>
      <c r="L94" s="46">
        <f t="shared" si="89"/>
        <v>57.29742025392105</v>
      </c>
      <c r="M94" s="39">
        <v>76</v>
      </c>
      <c r="N94" s="22">
        <v>12</v>
      </c>
      <c r="O94" s="22">
        <v>4</v>
      </c>
      <c r="P94" s="22">
        <v>800</v>
      </c>
      <c r="Q94" s="22">
        <v>80</v>
      </c>
      <c r="R94" s="49">
        <f t="shared" si="90"/>
        <v>0.9616582055532533</v>
      </c>
      <c r="S94" s="50">
        <f t="shared" si="91"/>
        <v>234113250.77127168</v>
      </c>
      <c r="T94" s="39">
        <v>20.5</v>
      </c>
      <c r="U94" s="54">
        <f t="shared" si="92"/>
        <v>0.6830263888531253</v>
      </c>
      <c r="V94" s="54">
        <f t="shared" si="93"/>
        <v>1.9570865420841428</v>
      </c>
      <c r="W94" s="54">
        <f t="shared" si="94"/>
        <v>0.3490016277592692</v>
      </c>
      <c r="X94" s="55">
        <f t="shared" si="95"/>
        <v>68.53471894596157</v>
      </c>
      <c r="Y94" s="42">
        <v>19</v>
      </c>
      <c r="Z94" s="43">
        <v>2</v>
      </c>
      <c r="AA94" s="43">
        <v>3</v>
      </c>
      <c r="AB94" s="158">
        <f t="shared" si="87"/>
        <v>3.1196115030018015</v>
      </c>
      <c r="AC94" s="59">
        <f t="shared" si="86"/>
        <v>28.27431</v>
      </c>
      <c r="AD94" s="59">
        <f t="shared" si="96"/>
        <v>30.573878260864202</v>
      </c>
      <c r="AE94" s="60">
        <f t="shared" si="97"/>
        <v>2.9403294902447796</v>
      </c>
      <c r="AF94" s="61">
        <f t="shared" si="98"/>
        <v>17.778659181401142</v>
      </c>
      <c r="AG94" s="62">
        <f t="shared" si="99"/>
        <v>0.061067597332412314</v>
      </c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</row>
    <row r="95" spans="1:65" s="22" customFormat="1" ht="12.75">
      <c r="A95" s="38" t="s">
        <v>74</v>
      </c>
      <c r="B95" s="39">
        <v>9</v>
      </c>
      <c r="C95" s="39">
        <v>60</v>
      </c>
      <c r="D95" s="39">
        <v>15</v>
      </c>
      <c r="E95" s="39">
        <v>10</v>
      </c>
      <c r="F95" s="39">
        <v>5.8</v>
      </c>
      <c r="G95" s="39">
        <v>0</v>
      </c>
      <c r="H95" s="49">
        <f t="shared" si="88"/>
        <v>2.548120306462035</v>
      </c>
      <c r="I95" s="40">
        <v>2</v>
      </c>
      <c r="J95" s="41">
        <v>1</v>
      </c>
      <c r="K95" s="22">
        <v>1200</v>
      </c>
      <c r="L95" s="46">
        <f t="shared" si="89"/>
        <v>57.29742025392105</v>
      </c>
      <c r="M95" s="39">
        <v>76</v>
      </c>
      <c r="N95" s="22">
        <v>12</v>
      </c>
      <c r="O95" s="22">
        <v>4</v>
      </c>
      <c r="P95" s="22">
        <v>800</v>
      </c>
      <c r="Q95" s="22">
        <v>80</v>
      </c>
      <c r="R95" s="49">
        <f t="shared" si="90"/>
        <v>0.9616582055532533</v>
      </c>
      <c r="S95" s="50">
        <f t="shared" si="91"/>
        <v>234113250.77127168</v>
      </c>
      <c r="T95" s="39">
        <v>20.5</v>
      </c>
      <c r="U95" s="54">
        <f t="shared" si="92"/>
        <v>0.6830263888531253</v>
      </c>
      <c r="V95" s="54">
        <f t="shared" si="93"/>
        <v>1.9570865420841428</v>
      </c>
      <c r="W95" s="54">
        <f t="shared" si="94"/>
        <v>0.3490016277592692</v>
      </c>
      <c r="X95" s="55">
        <f t="shared" si="95"/>
        <v>68.53471894596157</v>
      </c>
      <c r="Y95" s="42">
        <v>19</v>
      </c>
      <c r="Z95" s="43">
        <v>2</v>
      </c>
      <c r="AA95" s="43">
        <v>3</v>
      </c>
      <c r="AB95" s="158">
        <f t="shared" si="87"/>
        <v>3.1196115030018015</v>
      </c>
      <c r="AC95" s="59">
        <f t="shared" si="86"/>
        <v>28.27431</v>
      </c>
      <c r="AD95" s="59">
        <f t="shared" si="96"/>
        <v>30.573878260864202</v>
      </c>
      <c r="AE95" s="60">
        <f t="shared" si="97"/>
        <v>2.9403294902447796</v>
      </c>
      <c r="AF95" s="61">
        <f t="shared" si="98"/>
        <v>17.778659181401142</v>
      </c>
      <c r="AG95" s="62">
        <f t="shared" si="99"/>
        <v>0.061067597332412314</v>
      </c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</row>
    <row r="96" spans="1:65" s="22" customFormat="1" ht="12.75">
      <c r="A96" s="38" t="s">
        <v>74</v>
      </c>
      <c r="B96" s="39">
        <v>9</v>
      </c>
      <c r="C96" s="39">
        <v>60</v>
      </c>
      <c r="D96" s="39">
        <v>15</v>
      </c>
      <c r="E96" s="39">
        <v>10</v>
      </c>
      <c r="F96" s="39">
        <v>5.8</v>
      </c>
      <c r="G96" s="39">
        <v>0</v>
      </c>
      <c r="H96" s="49">
        <f t="shared" si="88"/>
        <v>2.548120306462035</v>
      </c>
      <c r="I96" s="40">
        <v>2</v>
      </c>
      <c r="J96" s="41">
        <v>1</v>
      </c>
      <c r="K96" s="22">
        <v>1200</v>
      </c>
      <c r="L96" s="46">
        <f t="shared" si="89"/>
        <v>57.29742025392105</v>
      </c>
      <c r="M96" s="39">
        <v>76</v>
      </c>
      <c r="N96" s="22">
        <v>12</v>
      </c>
      <c r="O96" s="22">
        <v>4</v>
      </c>
      <c r="P96" s="22">
        <v>800</v>
      </c>
      <c r="Q96" s="22">
        <v>80</v>
      </c>
      <c r="R96" s="49">
        <f t="shared" si="90"/>
        <v>0.9616582055532533</v>
      </c>
      <c r="S96" s="50">
        <f t="shared" si="91"/>
        <v>234113250.77127168</v>
      </c>
      <c r="T96" s="39">
        <v>20.5</v>
      </c>
      <c r="U96" s="54">
        <f t="shared" si="92"/>
        <v>0.6830263888531253</v>
      </c>
      <c r="V96" s="54">
        <f t="shared" si="93"/>
        <v>1.9570865420841428</v>
      </c>
      <c r="W96" s="54">
        <f t="shared" si="94"/>
        <v>0.3490016277592692</v>
      </c>
      <c r="X96" s="55">
        <f t="shared" si="95"/>
        <v>68.53471894596157</v>
      </c>
      <c r="Y96" s="42">
        <v>19</v>
      </c>
      <c r="Z96" s="43">
        <v>2</v>
      </c>
      <c r="AA96" s="43">
        <v>3</v>
      </c>
      <c r="AB96" s="158">
        <f t="shared" si="87"/>
        <v>3.1196115030018015</v>
      </c>
      <c r="AC96" s="59">
        <f t="shared" si="86"/>
        <v>28.27431</v>
      </c>
      <c r="AD96" s="59">
        <f t="shared" si="96"/>
        <v>30.573878260864202</v>
      </c>
      <c r="AE96" s="60">
        <f t="shared" si="97"/>
        <v>2.9403294902447796</v>
      </c>
      <c r="AF96" s="61">
        <f t="shared" si="98"/>
        <v>17.778659181401142</v>
      </c>
      <c r="AG96" s="62">
        <f t="shared" si="99"/>
        <v>0.061067597332412314</v>
      </c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</row>
    <row r="97" spans="1:65" s="22" customFormat="1" ht="12.75">
      <c r="A97" s="38" t="s">
        <v>74</v>
      </c>
      <c r="B97" s="39">
        <v>9</v>
      </c>
      <c r="C97" s="39">
        <v>60</v>
      </c>
      <c r="D97" s="39">
        <v>15</v>
      </c>
      <c r="E97" s="39">
        <v>10</v>
      </c>
      <c r="F97" s="39">
        <v>5.8</v>
      </c>
      <c r="G97" s="39">
        <v>0</v>
      </c>
      <c r="H97" s="49">
        <f t="shared" si="88"/>
        <v>2.548120306462035</v>
      </c>
      <c r="I97" s="40">
        <v>2</v>
      </c>
      <c r="J97" s="41">
        <v>1</v>
      </c>
      <c r="K97" s="22">
        <v>1200</v>
      </c>
      <c r="L97" s="46">
        <f t="shared" si="89"/>
        <v>57.29742025392105</v>
      </c>
      <c r="M97" s="39">
        <v>76</v>
      </c>
      <c r="N97" s="22">
        <v>12</v>
      </c>
      <c r="O97" s="22">
        <v>4</v>
      </c>
      <c r="P97" s="22">
        <v>800</v>
      </c>
      <c r="Q97" s="22">
        <v>80</v>
      </c>
      <c r="R97" s="49">
        <f t="shared" si="90"/>
        <v>0.9616582055532533</v>
      </c>
      <c r="S97" s="50">
        <f t="shared" si="91"/>
        <v>234113250.77127168</v>
      </c>
      <c r="T97" s="39">
        <v>20.5</v>
      </c>
      <c r="U97" s="54">
        <f t="shared" si="92"/>
        <v>0.6830263888531253</v>
      </c>
      <c r="V97" s="54">
        <f t="shared" si="93"/>
        <v>1.9570865420841428</v>
      </c>
      <c r="W97" s="54">
        <f t="shared" si="94"/>
        <v>0.3490016277592692</v>
      </c>
      <c r="X97" s="55">
        <f t="shared" si="95"/>
        <v>68.53471894596157</v>
      </c>
      <c r="Y97" s="42">
        <v>19</v>
      </c>
      <c r="Z97" s="43">
        <v>2</v>
      </c>
      <c r="AA97" s="43">
        <v>3</v>
      </c>
      <c r="AB97" s="158">
        <f t="shared" si="87"/>
        <v>3.1196115030018015</v>
      </c>
      <c r="AC97" s="59">
        <f t="shared" si="86"/>
        <v>28.27431</v>
      </c>
      <c r="AD97" s="59">
        <f t="shared" si="96"/>
        <v>30.573878260864202</v>
      </c>
      <c r="AE97" s="60">
        <f t="shared" si="97"/>
        <v>2.9403294902447796</v>
      </c>
      <c r="AF97" s="61">
        <f t="shared" si="98"/>
        <v>17.778659181401142</v>
      </c>
      <c r="AG97" s="62">
        <f t="shared" si="99"/>
        <v>0.061067597332412314</v>
      </c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</row>
    <row r="98" spans="1:65" s="22" customFormat="1" ht="12.75">
      <c r="A98" s="38" t="s">
        <v>74</v>
      </c>
      <c r="B98" s="39">
        <v>9</v>
      </c>
      <c r="C98" s="39">
        <v>60</v>
      </c>
      <c r="D98" s="39">
        <v>15</v>
      </c>
      <c r="E98" s="39">
        <v>10</v>
      </c>
      <c r="F98" s="39">
        <v>5.8</v>
      </c>
      <c r="G98" s="39">
        <v>0</v>
      </c>
      <c r="H98" s="49">
        <f t="shared" si="88"/>
        <v>2.548120306462035</v>
      </c>
      <c r="I98" s="40">
        <v>2</v>
      </c>
      <c r="J98" s="41">
        <v>1</v>
      </c>
      <c r="K98" s="22">
        <v>1200</v>
      </c>
      <c r="L98" s="46">
        <f aca="true" t="shared" si="100" ref="L98:L113">SQRT(K98*H98*J98*J98+D98*D98+(I98*I98-1)/12)</f>
        <v>57.29742025392105</v>
      </c>
      <c r="M98" s="39">
        <v>76</v>
      </c>
      <c r="N98" s="22">
        <v>12</v>
      </c>
      <c r="O98" s="22">
        <v>4</v>
      </c>
      <c r="P98" s="22">
        <v>800</v>
      </c>
      <c r="Q98" s="22">
        <v>80</v>
      </c>
      <c r="R98" s="49">
        <f t="shared" si="90"/>
        <v>0.9616582055532533</v>
      </c>
      <c r="S98" s="50">
        <f t="shared" si="91"/>
        <v>234113250.77127168</v>
      </c>
      <c r="T98" s="39">
        <v>20.5</v>
      </c>
      <c r="U98" s="54">
        <f t="shared" si="92"/>
        <v>0.6830263888531253</v>
      </c>
      <c r="V98" s="54">
        <f t="shared" si="93"/>
        <v>1.9570865420841428</v>
      </c>
      <c r="W98" s="54">
        <f t="shared" si="94"/>
        <v>0.3490016277592692</v>
      </c>
      <c r="X98" s="55">
        <f t="shared" si="95"/>
        <v>68.53471894596157</v>
      </c>
      <c r="Y98" s="42">
        <v>19</v>
      </c>
      <c r="Z98" s="43">
        <v>2</v>
      </c>
      <c r="AA98" s="43">
        <v>3</v>
      </c>
      <c r="AB98" s="158">
        <f t="shared" si="87"/>
        <v>3.1196115030018015</v>
      </c>
      <c r="AC98" s="59">
        <f t="shared" si="86"/>
        <v>28.27431</v>
      </c>
      <c r="AD98" s="59">
        <f t="shared" si="96"/>
        <v>30.573878260864202</v>
      </c>
      <c r="AE98" s="60">
        <f t="shared" si="97"/>
        <v>2.9403294902447796</v>
      </c>
      <c r="AF98" s="61">
        <f t="shared" si="98"/>
        <v>17.778659181401142</v>
      </c>
      <c r="AG98" s="62">
        <f t="shared" si="99"/>
        <v>0.061067597332412314</v>
      </c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</row>
    <row r="99" spans="1:65" s="22" customFormat="1" ht="12.75">
      <c r="A99" s="38" t="s">
        <v>74</v>
      </c>
      <c r="B99" s="39">
        <v>9</v>
      </c>
      <c r="C99" s="39">
        <v>60</v>
      </c>
      <c r="D99" s="39">
        <v>15</v>
      </c>
      <c r="E99" s="39">
        <v>10</v>
      </c>
      <c r="F99" s="39">
        <v>5.8</v>
      </c>
      <c r="G99" s="39">
        <v>0</v>
      </c>
      <c r="H99" s="49">
        <f aca="true" t="shared" si="101" ref="H99:H109">B99*B99*(E99/16.022)*EXP(0.69315*(G99-25)/F99)</f>
        <v>2.548120306462035</v>
      </c>
      <c r="I99" s="40">
        <v>2</v>
      </c>
      <c r="J99" s="41">
        <v>1</v>
      </c>
      <c r="K99" s="22">
        <v>1200</v>
      </c>
      <c r="L99" s="46">
        <f t="shared" si="100"/>
        <v>57.29742025392105</v>
      </c>
      <c r="M99" s="39">
        <v>76</v>
      </c>
      <c r="N99" s="22">
        <v>12</v>
      </c>
      <c r="O99" s="22">
        <v>4</v>
      </c>
      <c r="P99" s="22">
        <v>800</v>
      </c>
      <c r="Q99" s="22">
        <v>80</v>
      </c>
      <c r="R99" s="49">
        <f aca="true" t="shared" si="102" ref="R99:R109">B99*J99/((25.4*M99/206265)*1000)</f>
        <v>0.9616582055532533</v>
      </c>
      <c r="S99" s="50">
        <f aca="true" t="shared" si="103" ref="S99:S109">940*P99*Q99/100*C99/100*3.14159*(N99*N99-O99*O99)/4*2.54*2.54</f>
        <v>234113250.77127168</v>
      </c>
      <c r="T99" s="39">
        <v>20.5</v>
      </c>
      <c r="U99" s="54">
        <f aca="true" t="shared" si="104" ref="U99:U109">(S99*(EXP(-0.4*LN(10)*T99))*R99*R99)/I99</f>
        <v>0.6830263888531253</v>
      </c>
      <c r="V99" s="54">
        <f aca="true" t="shared" si="105" ref="V99:V109">(S99*(EXP(-0.4*LN(10)*T99))*R99*R99+(J99*J99*H99))/I99</f>
        <v>1.9570865420841428</v>
      </c>
      <c r="W99" s="54">
        <f aca="true" t="shared" si="106" ref="W99:W109">U99/V99</f>
        <v>0.3490016277592692</v>
      </c>
      <c r="X99" s="55">
        <f aca="true" t="shared" si="107" ref="X99:X109">SQRT(V99*K99*I99)</f>
        <v>68.53471894596157</v>
      </c>
      <c r="Y99" s="42">
        <v>19</v>
      </c>
      <c r="Z99" s="43">
        <v>2</v>
      </c>
      <c r="AA99" s="43">
        <v>3</v>
      </c>
      <c r="AB99" s="158">
        <f t="shared" si="87"/>
        <v>3.1196115030018015</v>
      </c>
      <c r="AC99" s="59">
        <f t="shared" si="86"/>
        <v>28.27431</v>
      </c>
      <c r="AD99" s="59">
        <f aca="true" t="shared" si="108" ref="AD99:AD109">AC99/(R99*R99)</f>
        <v>30.573878260864202</v>
      </c>
      <c r="AE99" s="60">
        <f aca="true" t="shared" si="109" ref="AE99:AE109">S99*EXP(-0.4*LN(10)*Y99)/I99</f>
        <v>2.9403294902447796</v>
      </c>
      <c r="AF99" s="61">
        <f aca="true" t="shared" si="110" ref="AF99:AF109">SQRT((AE99*K99*I99)/(1+(MAX(1,AD99))*(V99*I99*K99+(I99*I99-1)/12+D99*D99)/(AE99*K99*I99)))</f>
        <v>17.778659181401142</v>
      </c>
      <c r="AG99" s="62">
        <f aca="true" t="shared" si="111" ref="AG99:AG109">1.0857/AF99</f>
        <v>0.061067597332412314</v>
      </c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</row>
    <row r="100" spans="1:65" s="22" customFormat="1" ht="12.75">
      <c r="A100" s="38" t="s">
        <v>74</v>
      </c>
      <c r="B100" s="39">
        <v>9</v>
      </c>
      <c r="C100" s="39">
        <v>60</v>
      </c>
      <c r="D100" s="39">
        <v>15</v>
      </c>
      <c r="E100" s="39">
        <v>10</v>
      </c>
      <c r="F100" s="39">
        <v>5.8</v>
      </c>
      <c r="G100" s="39">
        <v>0</v>
      </c>
      <c r="H100" s="49">
        <f t="shared" si="101"/>
        <v>2.548120306462035</v>
      </c>
      <c r="I100" s="40">
        <v>2</v>
      </c>
      <c r="J100" s="41">
        <v>1</v>
      </c>
      <c r="K100" s="22">
        <v>1200</v>
      </c>
      <c r="L100" s="46">
        <f t="shared" si="100"/>
        <v>57.29742025392105</v>
      </c>
      <c r="M100" s="39">
        <v>76</v>
      </c>
      <c r="N100" s="22">
        <v>12</v>
      </c>
      <c r="O100" s="22">
        <v>4</v>
      </c>
      <c r="P100" s="22">
        <v>800</v>
      </c>
      <c r="Q100" s="22">
        <v>80</v>
      </c>
      <c r="R100" s="49">
        <f t="shared" si="102"/>
        <v>0.9616582055532533</v>
      </c>
      <c r="S100" s="50">
        <f t="shared" si="103"/>
        <v>234113250.77127168</v>
      </c>
      <c r="T100" s="39">
        <v>20.5</v>
      </c>
      <c r="U100" s="54">
        <f t="shared" si="104"/>
        <v>0.6830263888531253</v>
      </c>
      <c r="V100" s="54">
        <f t="shared" si="105"/>
        <v>1.9570865420841428</v>
      </c>
      <c r="W100" s="54">
        <f t="shared" si="106"/>
        <v>0.3490016277592692</v>
      </c>
      <c r="X100" s="55">
        <f t="shared" si="107"/>
        <v>68.53471894596157</v>
      </c>
      <c r="Y100" s="42">
        <v>19</v>
      </c>
      <c r="Z100" s="43">
        <v>2</v>
      </c>
      <c r="AA100" s="43">
        <v>3</v>
      </c>
      <c r="AB100" s="158">
        <f t="shared" si="87"/>
        <v>3.1196115030018015</v>
      </c>
      <c r="AC100" s="59">
        <f t="shared" si="86"/>
        <v>28.27431</v>
      </c>
      <c r="AD100" s="59">
        <f t="shared" si="108"/>
        <v>30.573878260864202</v>
      </c>
      <c r="AE100" s="60">
        <f t="shared" si="109"/>
        <v>2.9403294902447796</v>
      </c>
      <c r="AF100" s="61">
        <f t="shared" si="110"/>
        <v>17.778659181401142</v>
      </c>
      <c r="AG100" s="62">
        <f t="shared" si="111"/>
        <v>0.061067597332412314</v>
      </c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</row>
    <row r="101" spans="1:65" s="22" customFormat="1" ht="12.75">
      <c r="A101" s="38" t="s">
        <v>74</v>
      </c>
      <c r="B101" s="39">
        <v>9</v>
      </c>
      <c r="C101" s="39">
        <v>42</v>
      </c>
      <c r="D101" s="39">
        <v>15</v>
      </c>
      <c r="E101" s="39">
        <v>10</v>
      </c>
      <c r="F101" s="39">
        <v>5.8</v>
      </c>
      <c r="G101" s="39">
        <v>5</v>
      </c>
      <c r="H101" s="49">
        <f t="shared" si="101"/>
        <v>4.631584601458434</v>
      </c>
      <c r="I101" s="40">
        <v>2</v>
      </c>
      <c r="J101" s="41">
        <v>3</v>
      </c>
      <c r="K101" s="22">
        <v>600</v>
      </c>
      <c r="L101" s="46">
        <f t="shared" si="100"/>
        <v>158.8578195994001</v>
      </c>
      <c r="M101" s="39">
        <v>120</v>
      </c>
      <c r="N101" s="22">
        <v>12</v>
      </c>
      <c r="O101" s="22">
        <v>4</v>
      </c>
      <c r="P101" s="22">
        <v>800</v>
      </c>
      <c r="Q101" s="22">
        <v>80</v>
      </c>
      <c r="R101" s="49">
        <f t="shared" si="102"/>
        <v>1.8271505905511811</v>
      </c>
      <c r="S101" s="50">
        <f t="shared" si="103"/>
        <v>163879275.5398902</v>
      </c>
      <c r="T101" s="39">
        <v>21.5</v>
      </c>
      <c r="U101" s="54">
        <f t="shared" si="104"/>
        <v>0.687136035682378</v>
      </c>
      <c r="V101" s="54">
        <f t="shared" si="105"/>
        <v>21.529266742245333</v>
      </c>
      <c r="W101" s="54">
        <f t="shared" si="106"/>
        <v>0.03191636965201701</v>
      </c>
      <c r="X101" s="55">
        <f t="shared" si="107"/>
        <v>160.73307093032972</v>
      </c>
      <c r="Y101" s="42">
        <v>21</v>
      </c>
      <c r="Z101" s="43">
        <v>2</v>
      </c>
      <c r="AA101" s="43">
        <v>3</v>
      </c>
      <c r="AB101" s="158">
        <f t="shared" si="87"/>
        <v>1.6419007910535799</v>
      </c>
      <c r="AC101" s="59">
        <f t="shared" si="86"/>
        <v>28.27431</v>
      </c>
      <c r="AD101" s="59">
        <f t="shared" si="108"/>
        <v>8.46921835481003</v>
      </c>
      <c r="AE101" s="60">
        <f t="shared" si="109"/>
        <v>0.32620757348771157</v>
      </c>
      <c r="AF101" s="61">
        <f t="shared" si="110"/>
        <v>0.8324890769710231</v>
      </c>
      <c r="AG101" s="62">
        <f t="shared" si="111"/>
        <v>1.3041612557251494</v>
      </c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</row>
    <row r="102" spans="1:65" s="22" customFormat="1" ht="12.75">
      <c r="A102" s="38" t="s">
        <v>74</v>
      </c>
      <c r="B102" s="39">
        <v>9</v>
      </c>
      <c r="C102" s="39">
        <v>42</v>
      </c>
      <c r="D102" s="39">
        <v>15</v>
      </c>
      <c r="E102" s="39">
        <v>10</v>
      </c>
      <c r="F102" s="39">
        <v>5.8</v>
      </c>
      <c r="G102" s="39">
        <v>-5</v>
      </c>
      <c r="H102" s="49">
        <f t="shared" si="101"/>
        <v>1.4018781162195804</v>
      </c>
      <c r="I102" s="40">
        <v>2</v>
      </c>
      <c r="J102" s="41">
        <v>3</v>
      </c>
      <c r="K102" s="22">
        <v>600</v>
      </c>
      <c r="L102" s="46">
        <f t="shared" si="100"/>
        <v>88.2915161699341</v>
      </c>
      <c r="M102" s="39">
        <v>120</v>
      </c>
      <c r="N102" s="22">
        <v>12</v>
      </c>
      <c r="O102" s="22">
        <v>4</v>
      </c>
      <c r="P102" s="22">
        <v>800</v>
      </c>
      <c r="Q102" s="22">
        <v>80</v>
      </c>
      <c r="R102" s="49">
        <f t="shared" si="102"/>
        <v>1.8271505905511811</v>
      </c>
      <c r="S102" s="50">
        <f t="shared" si="103"/>
        <v>163879275.5398902</v>
      </c>
      <c r="T102" s="39">
        <v>21.5</v>
      </c>
      <c r="U102" s="54">
        <f t="shared" si="104"/>
        <v>0.687136035682378</v>
      </c>
      <c r="V102" s="54">
        <f t="shared" si="105"/>
        <v>6.995587558670489</v>
      </c>
      <c r="W102" s="54">
        <f t="shared" si="106"/>
        <v>0.09822420631855663</v>
      </c>
      <c r="X102" s="55">
        <f t="shared" si="107"/>
        <v>91.62262313645351</v>
      </c>
      <c r="Y102" s="42">
        <v>21</v>
      </c>
      <c r="Z102" s="43">
        <v>2</v>
      </c>
      <c r="AA102" s="43">
        <v>3</v>
      </c>
      <c r="AB102" s="158">
        <f t="shared" si="87"/>
        <v>1.6419007910535799</v>
      </c>
      <c r="AC102" s="59">
        <f t="shared" si="86"/>
        <v>28.27431</v>
      </c>
      <c r="AD102" s="59">
        <f t="shared" si="108"/>
        <v>8.46921835481003</v>
      </c>
      <c r="AE102" s="60">
        <f t="shared" si="109"/>
        <v>0.32620757348771157</v>
      </c>
      <c r="AF102" s="61">
        <f t="shared" si="110"/>
        <v>1.44490697075918</v>
      </c>
      <c r="AG102" s="62">
        <f t="shared" si="111"/>
        <v>0.751397856036056</v>
      </c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</row>
    <row r="103" spans="1:65" s="22" customFormat="1" ht="12.75">
      <c r="A103" s="38" t="s">
        <v>74</v>
      </c>
      <c r="B103" s="39">
        <v>9</v>
      </c>
      <c r="C103" s="39">
        <v>42</v>
      </c>
      <c r="D103" s="39">
        <v>15</v>
      </c>
      <c r="E103" s="39">
        <v>10</v>
      </c>
      <c r="F103" s="39">
        <v>5.8</v>
      </c>
      <c r="G103" s="39">
        <v>-15</v>
      </c>
      <c r="H103" s="49">
        <f t="shared" si="101"/>
        <v>0.4243174683922474</v>
      </c>
      <c r="I103" s="40">
        <v>2</v>
      </c>
      <c r="J103" s="41">
        <v>3</v>
      </c>
      <c r="K103" s="22">
        <v>600</v>
      </c>
      <c r="L103" s="46">
        <f t="shared" si="100"/>
        <v>50.165369821403054</v>
      </c>
      <c r="M103" s="39">
        <v>120</v>
      </c>
      <c r="N103" s="22">
        <v>12</v>
      </c>
      <c r="O103" s="22">
        <v>4</v>
      </c>
      <c r="P103" s="22">
        <v>800</v>
      </c>
      <c r="Q103" s="22">
        <v>80</v>
      </c>
      <c r="R103" s="49">
        <f t="shared" si="102"/>
        <v>1.8271505905511811</v>
      </c>
      <c r="S103" s="50">
        <f t="shared" si="103"/>
        <v>163879275.5398902</v>
      </c>
      <c r="T103" s="39">
        <v>21.5</v>
      </c>
      <c r="U103" s="54">
        <f t="shared" si="104"/>
        <v>0.687136035682378</v>
      </c>
      <c r="V103" s="54">
        <f t="shared" si="105"/>
        <v>2.596564643447491</v>
      </c>
      <c r="W103" s="54">
        <f t="shared" si="106"/>
        <v>0.26463274750982474</v>
      </c>
      <c r="X103" s="55">
        <f t="shared" si="107"/>
        <v>55.820046328689024</v>
      </c>
      <c r="Y103" s="42">
        <v>21</v>
      </c>
      <c r="Z103" s="43">
        <v>2</v>
      </c>
      <c r="AA103" s="43">
        <v>3</v>
      </c>
      <c r="AB103" s="158">
        <f t="shared" si="87"/>
        <v>1.6419007910535799</v>
      </c>
      <c r="AC103" s="59">
        <f t="shared" si="86"/>
        <v>28.27431</v>
      </c>
      <c r="AD103" s="59">
        <f t="shared" si="108"/>
        <v>8.46921835481003</v>
      </c>
      <c r="AE103" s="60">
        <f t="shared" si="109"/>
        <v>0.32620757348771157</v>
      </c>
      <c r="AF103" s="61">
        <f t="shared" si="110"/>
        <v>2.3111265477121505</v>
      </c>
      <c r="AG103" s="62">
        <f t="shared" si="111"/>
        <v>0.46977090072145344</v>
      </c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</row>
    <row r="104" spans="1:65" s="22" customFormat="1" ht="12.75">
      <c r="A104" s="38" t="s">
        <v>74</v>
      </c>
      <c r="B104" s="39">
        <v>9</v>
      </c>
      <c r="C104" s="39">
        <v>42</v>
      </c>
      <c r="D104" s="39">
        <v>15</v>
      </c>
      <c r="E104" s="39">
        <v>10</v>
      </c>
      <c r="F104" s="39">
        <v>5.8</v>
      </c>
      <c r="G104" s="39">
        <v>-25</v>
      </c>
      <c r="H104" s="49">
        <f t="shared" si="101"/>
        <v>0.12843150335232503</v>
      </c>
      <c r="I104" s="40">
        <v>2</v>
      </c>
      <c r="J104" s="41">
        <v>3</v>
      </c>
      <c r="K104" s="22">
        <v>600</v>
      </c>
      <c r="L104" s="46">
        <f t="shared" si="100"/>
        <v>30.31138594823</v>
      </c>
      <c r="M104" s="39">
        <v>120</v>
      </c>
      <c r="N104" s="22">
        <v>12</v>
      </c>
      <c r="O104" s="22">
        <v>4</v>
      </c>
      <c r="P104" s="22">
        <v>800</v>
      </c>
      <c r="Q104" s="22">
        <v>80</v>
      </c>
      <c r="R104" s="49">
        <f t="shared" si="102"/>
        <v>1.8271505905511811</v>
      </c>
      <c r="S104" s="50">
        <f t="shared" si="103"/>
        <v>163879275.5398902</v>
      </c>
      <c r="T104" s="39">
        <v>21.5</v>
      </c>
      <c r="U104" s="54">
        <f t="shared" si="104"/>
        <v>0.687136035682378</v>
      </c>
      <c r="V104" s="54">
        <f t="shared" si="105"/>
        <v>1.2650778007678407</v>
      </c>
      <c r="W104" s="54">
        <f t="shared" si="106"/>
        <v>0.543157136474389</v>
      </c>
      <c r="X104" s="55">
        <f t="shared" si="107"/>
        <v>38.96271757618312</v>
      </c>
      <c r="Y104" s="42">
        <v>21</v>
      </c>
      <c r="Z104" s="43">
        <v>2</v>
      </c>
      <c r="AA104" s="43">
        <v>3</v>
      </c>
      <c r="AB104" s="158">
        <f t="shared" si="87"/>
        <v>1.6419007910535799</v>
      </c>
      <c r="AC104" s="59">
        <f t="shared" si="86"/>
        <v>28.27431</v>
      </c>
      <c r="AD104" s="59">
        <f t="shared" si="108"/>
        <v>8.46921835481003</v>
      </c>
      <c r="AE104" s="60">
        <f t="shared" si="109"/>
        <v>0.32620757348771157</v>
      </c>
      <c r="AF104" s="61">
        <f t="shared" si="110"/>
        <v>3.179655398235018</v>
      </c>
      <c r="AG104" s="62">
        <f t="shared" si="111"/>
        <v>0.3414520959103483</v>
      </c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</row>
    <row r="105" spans="1:65" s="22" customFormat="1" ht="12.75">
      <c r="A105" s="38" t="s">
        <v>74</v>
      </c>
      <c r="B105" s="39">
        <v>9</v>
      </c>
      <c r="C105" s="39">
        <v>42</v>
      </c>
      <c r="D105" s="39">
        <v>15</v>
      </c>
      <c r="E105" s="39">
        <v>10</v>
      </c>
      <c r="F105" s="39">
        <v>5.8</v>
      </c>
      <c r="G105" s="39">
        <v>-35</v>
      </c>
      <c r="H105" s="49">
        <f t="shared" si="101"/>
        <v>0.03887337260904435</v>
      </c>
      <c r="I105" s="40">
        <v>2</v>
      </c>
      <c r="J105" s="41">
        <v>3</v>
      </c>
      <c r="K105" s="22">
        <v>600</v>
      </c>
      <c r="L105" s="46">
        <f t="shared" si="100"/>
        <v>20.860637863901466</v>
      </c>
      <c r="M105" s="39">
        <v>120</v>
      </c>
      <c r="N105" s="22">
        <v>12</v>
      </c>
      <c r="O105" s="22">
        <v>4</v>
      </c>
      <c r="P105" s="22">
        <v>800</v>
      </c>
      <c r="Q105" s="22">
        <v>80</v>
      </c>
      <c r="R105" s="49">
        <f t="shared" si="102"/>
        <v>1.8271505905511811</v>
      </c>
      <c r="S105" s="50">
        <f t="shared" si="103"/>
        <v>163879275.5398902</v>
      </c>
      <c r="T105" s="39">
        <v>21.5</v>
      </c>
      <c r="U105" s="54">
        <f t="shared" si="104"/>
        <v>0.687136035682378</v>
      </c>
      <c r="V105" s="54">
        <f t="shared" si="105"/>
        <v>0.8620662124230776</v>
      </c>
      <c r="W105" s="54">
        <f t="shared" si="106"/>
        <v>0.79708034693877</v>
      </c>
      <c r="X105" s="55">
        <f t="shared" si="107"/>
        <v>32.16332468678717</v>
      </c>
      <c r="Y105" s="42">
        <v>21</v>
      </c>
      <c r="Z105" s="43">
        <v>2</v>
      </c>
      <c r="AA105" s="43">
        <v>3</v>
      </c>
      <c r="AB105" s="158">
        <f t="shared" si="87"/>
        <v>1.6419007910535799</v>
      </c>
      <c r="AC105" s="59">
        <f t="shared" si="86"/>
        <v>28.27431</v>
      </c>
      <c r="AD105" s="59">
        <f t="shared" si="108"/>
        <v>8.46921835481003</v>
      </c>
      <c r="AE105" s="60">
        <f t="shared" si="109"/>
        <v>0.32620757348771157</v>
      </c>
      <c r="AF105" s="61">
        <f t="shared" si="110"/>
        <v>3.722120259992188</v>
      </c>
      <c r="AG105" s="62">
        <f t="shared" si="111"/>
        <v>0.2916885871931174</v>
      </c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</row>
    <row r="106" spans="1:65" s="22" customFormat="1" ht="12.75">
      <c r="A106" s="38" t="s">
        <v>74</v>
      </c>
      <c r="B106" s="39">
        <v>9</v>
      </c>
      <c r="C106" s="39">
        <v>42</v>
      </c>
      <c r="D106" s="39">
        <v>15</v>
      </c>
      <c r="E106" s="39">
        <v>10</v>
      </c>
      <c r="F106" s="39">
        <v>5.8</v>
      </c>
      <c r="G106" s="39">
        <v>-45</v>
      </c>
      <c r="H106" s="49">
        <f t="shared" si="101"/>
        <v>0.011766109237669731</v>
      </c>
      <c r="I106" s="40">
        <v>2</v>
      </c>
      <c r="J106" s="41">
        <v>3</v>
      </c>
      <c r="K106" s="22">
        <v>600</v>
      </c>
      <c r="L106" s="46">
        <f t="shared" si="100"/>
        <v>16.993733841725795</v>
      </c>
      <c r="M106" s="39">
        <v>120</v>
      </c>
      <c r="N106" s="22">
        <v>12</v>
      </c>
      <c r="O106" s="22">
        <v>4</v>
      </c>
      <c r="P106" s="22">
        <v>800</v>
      </c>
      <c r="Q106" s="22">
        <v>80</v>
      </c>
      <c r="R106" s="49">
        <f t="shared" si="102"/>
        <v>1.8271505905511811</v>
      </c>
      <c r="S106" s="50">
        <f t="shared" si="103"/>
        <v>163879275.5398902</v>
      </c>
      <c r="T106" s="39">
        <v>21.5</v>
      </c>
      <c r="U106" s="54">
        <f t="shared" si="104"/>
        <v>0.687136035682378</v>
      </c>
      <c r="V106" s="54">
        <f t="shared" si="105"/>
        <v>0.7400835272518919</v>
      </c>
      <c r="W106" s="54">
        <f t="shared" si="106"/>
        <v>0.9284574110626126</v>
      </c>
      <c r="X106" s="55">
        <f t="shared" si="107"/>
        <v>29.801010598673834</v>
      </c>
      <c r="Y106" s="42">
        <v>21</v>
      </c>
      <c r="Z106" s="43">
        <v>2</v>
      </c>
      <c r="AA106" s="43">
        <v>3</v>
      </c>
      <c r="AB106" s="158">
        <f t="shared" si="87"/>
        <v>1.6419007910535799</v>
      </c>
      <c r="AC106" s="59">
        <f t="shared" si="86"/>
        <v>28.27431</v>
      </c>
      <c r="AD106" s="59">
        <f t="shared" si="108"/>
        <v>8.46921835481003</v>
      </c>
      <c r="AE106" s="60">
        <f t="shared" si="109"/>
        <v>0.32620757348771157</v>
      </c>
      <c r="AF106" s="61">
        <f t="shared" si="110"/>
        <v>3.950072361666465</v>
      </c>
      <c r="AG106" s="62">
        <f t="shared" si="111"/>
        <v>0.2748557242991778</v>
      </c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</row>
    <row r="107" spans="1:65" s="22" customFormat="1" ht="12.75">
      <c r="A107" s="38" t="s">
        <v>74</v>
      </c>
      <c r="B107" s="39">
        <v>9</v>
      </c>
      <c r="C107" s="39">
        <v>42</v>
      </c>
      <c r="D107" s="39">
        <v>15</v>
      </c>
      <c r="E107" s="39">
        <v>10</v>
      </c>
      <c r="F107" s="39">
        <v>5.8</v>
      </c>
      <c r="G107" s="39">
        <v>-55</v>
      </c>
      <c r="H107" s="49">
        <f t="shared" si="101"/>
        <v>0.003561340766212981</v>
      </c>
      <c r="I107" s="40">
        <v>2</v>
      </c>
      <c r="J107" s="41">
        <v>3</v>
      </c>
      <c r="K107" s="22">
        <v>600</v>
      </c>
      <c r="L107" s="46">
        <f t="shared" si="100"/>
        <v>15.63589588535144</v>
      </c>
      <c r="M107" s="39">
        <v>120</v>
      </c>
      <c r="N107" s="22">
        <v>12</v>
      </c>
      <c r="O107" s="22">
        <v>4</v>
      </c>
      <c r="P107" s="22">
        <v>800</v>
      </c>
      <c r="Q107" s="22">
        <v>80</v>
      </c>
      <c r="R107" s="49">
        <f t="shared" si="102"/>
        <v>1.8271505905511811</v>
      </c>
      <c r="S107" s="50">
        <f t="shared" si="103"/>
        <v>163879275.5398902</v>
      </c>
      <c r="T107" s="39">
        <v>21.5</v>
      </c>
      <c r="U107" s="54">
        <f t="shared" si="104"/>
        <v>0.687136035682378</v>
      </c>
      <c r="V107" s="54">
        <f t="shared" si="105"/>
        <v>0.7031620691303364</v>
      </c>
      <c r="W107" s="54">
        <f t="shared" si="106"/>
        <v>0.9772086206700836</v>
      </c>
      <c r="X107" s="55">
        <f t="shared" si="107"/>
        <v>29.048140783127646</v>
      </c>
      <c r="Y107" s="42">
        <v>21</v>
      </c>
      <c r="Z107" s="43">
        <v>2</v>
      </c>
      <c r="AA107" s="43">
        <v>3</v>
      </c>
      <c r="AB107" s="158">
        <f t="shared" si="87"/>
        <v>1.6419007910535799</v>
      </c>
      <c r="AC107" s="59">
        <f t="shared" si="86"/>
        <v>28.27431</v>
      </c>
      <c r="AD107" s="59">
        <f t="shared" si="108"/>
        <v>8.46921835481003</v>
      </c>
      <c r="AE107" s="60">
        <f t="shared" si="109"/>
        <v>0.32620757348771157</v>
      </c>
      <c r="AF107" s="61">
        <f t="shared" si="110"/>
        <v>4.0277698173386325</v>
      </c>
      <c r="AG107" s="62">
        <f t="shared" si="111"/>
        <v>0.2695536361900098</v>
      </c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</row>
    <row r="108" spans="1:65" s="22" customFormat="1" ht="12.75">
      <c r="A108" s="38" t="s">
        <v>74</v>
      </c>
      <c r="B108" s="39">
        <v>9</v>
      </c>
      <c r="C108" s="39">
        <v>42</v>
      </c>
      <c r="D108" s="39">
        <v>15</v>
      </c>
      <c r="E108" s="39">
        <v>10</v>
      </c>
      <c r="F108" s="39">
        <v>5.8</v>
      </c>
      <c r="G108" s="39">
        <v>-65</v>
      </c>
      <c r="H108" s="49">
        <f t="shared" si="101"/>
        <v>0.0010779390023411318</v>
      </c>
      <c r="I108" s="40">
        <v>2</v>
      </c>
      <c r="J108" s="41">
        <v>3</v>
      </c>
      <c r="K108" s="22">
        <v>600</v>
      </c>
      <c r="L108" s="46">
        <f t="shared" si="100"/>
        <v>15.201015446760197</v>
      </c>
      <c r="M108" s="39">
        <v>120</v>
      </c>
      <c r="N108" s="22">
        <v>12</v>
      </c>
      <c r="O108" s="22">
        <v>4</v>
      </c>
      <c r="P108" s="22">
        <v>800</v>
      </c>
      <c r="Q108" s="22">
        <v>80</v>
      </c>
      <c r="R108" s="49">
        <f t="shared" si="102"/>
        <v>1.8271505905511811</v>
      </c>
      <c r="S108" s="50">
        <f t="shared" si="103"/>
        <v>163879275.5398902</v>
      </c>
      <c r="T108" s="39">
        <v>21.5</v>
      </c>
      <c r="U108" s="54">
        <f t="shared" si="104"/>
        <v>0.687136035682378</v>
      </c>
      <c r="V108" s="54">
        <f t="shared" si="105"/>
        <v>0.6919867611929131</v>
      </c>
      <c r="W108" s="54">
        <f t="shared" si="106"/>
        <v>0.9929901469470702</v>
      </c>
      <c r="X108" s="55">
        <f t="shared" si="107"/>
        <v>28.81638619659821</v>
      </c>
      <c r="Y108" s="42">
        <v>21</v>
      </c>
      <c r="Z108" s="43">
        <v>2</v>
      </c>
      <c r="AA108" s="43">
        <v>3</v>
      </c>
      <c r="AB108" s="158">
        <f t="shared" si="87"/>
        <v>1.6419007910535799</v>
      </c>
      <c r="AC108" s="59">
        <f t="shared" si="86"/>
        <v>28.27431</v>
      </c>
      <c r="AD108" s="59">
        <f t="shared" si="108"/>
        <v>8.46921835481003</v>
      </c>
      <c r="AE108" s="60">
        <f t="shared" si="109"/>
        <v>0.32620757348771157</v>
      </c>
      <c r="AF108" s="61">
        <f t="shared" si="110"/>
        <v>4.052206136075151</v>
      </c>
      <c r="AG108" s="62">
        <f t="shared" si="111"/>
        <v>0.26792812693669565</v>
      </c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</row>
    <row r="109" spans="1:65" s="22" customFormat="1" ht="12.75">
      <c r="A109" s="38" t="s">
        <v>74</v>
      </c>
      <c r="B109" s="39">
        <v>9</v>
      </c>
      <c r="C109" s="39">
        <v>42</v>
      </c>
      <c r="D109" s="39">
        <v>15</v>
      </c>
      <c r="E109" s="39">
        <v>10</v>
      </c>
      <c r="F109" s="39">
        <v>5.8</v>
      </c>
      <c r="G109" s="39">
        <v>-75</v>
      </c>
      <c r="H109" s="49">
        <f t="shared" si="101"/>
        <v>0.00032626827058837755</v>
      </c>
      <c r="I109" s="40">
        <v>2</v>
      </c>
      <c r="J109" s="41">
        <v>3</v>
      </c>
      <c r="K109" s="22">
        <v>600</v>
      </c>
      <c r="L109" s="46">
        <f t="shared" si="100"/>
        <v>15.066912379820135</v>
      </c>
      <c r="M109" s="39">
        <v>120</v>
      </c>
      <c r="N109" s="22">
        <v>12</v>
      </c>
      <c r="O109" s="22">
        <v>4</v>
      </c>
      <c r="P109" s="22">
        <v>800</v>
      </c>
      <c r="Q109" s="22">
        <v>80</v>
      </c>
      <c r="R109" s="49">
        <f t="shared" si="102"/>
        <v>1.8271505905511811</v>
      </c>
      <c r="S109" s="50">
        <f t="shared" si="103"/>
        <v>163879275.5398902</v>
      </c>
      <c r="T109" s="39">
        <v>21.5</v>
      </c>
      <c r="U109" s="54">
        <f t="shared" si="104"/>
        <v>0.687136035682378</v>
      </c>
      <c r="V109" s="54">
        <f t="shared" si="105"/>
        <v>0.6886042429000258</v>
      </c>
      <c r="W109" s="54">
        <f t="shared" si="106"/>
        <v>0.9978678504630404</v>
      </c>
      <c r="X109" s="55">
        <f t="shared" si="107"/>
        <v>28.74587085965619</v>
      </c>
      <c r="Y109" s="42">
        <v>21</v>
      </c>
      <c r="Z109" s="43">
        <v>2</v>
      </c>
      <c r="AA109" s="43">
        <v>3</v>
      </c>
      <c r="AB109" s="158">
        <f t="shared" si="87"/>
        <v>1.6419007910535799</v>
      </c>
      <c r="AC109" s="59">
        <f t="shared" si="86"/>
        <v>28.27431</v>
      </c>
      <c r="AD109" s="59">
        <f t="shared" si="108"/>
        <v>8.46921835481003</v>
      </c>
      <c r="AE109" s="60">
        <f t="shared" si="109"/>
        <v>0.32620757348771157</v>
      </c>
      <c r="AF109" s="61">
        <f t="shared" si="110"/>
        <v>4.059690599610451</v>
      </c>
      <c r="AG109" s="62">
        <f t="shared" si="111"/>
        <v>0.26743417345749915</v>
      </c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</row>
    <row r="110" spans="1:65" s="22" customFormat="1" ht="12.75">
      <c r="A110" s="38" t="s">
        <v>75</v>
      </c>
      <c r="B110" s="39">
        <v>12</v>
      </c>
      <c r="C110" s="39">
        <v>55</v>
      </c>
      <c r="D110" s="39">
        <v>15</v>
      </c>
      <c r="E110" s="39">
        <v>30</v>
      </c>
      <c r="F110" s="39">
        <v>6.5</v>
      </c>
      <c r="G110" s="39">
        <v>5</v>
      </c>
      <c r="H110" s="49">
        <f aca="true" t="shared" si="112" ref="H110:H125">B110*B110*(E110/16.022)*EXP(0.69315*(G110-25)/F110)</f>
        <v>31.95340259585713</v>
      </c>
      <c r="I110" s="40">
        <v>2</v>
      </c>
      <c r="J110" s="41">
        <v>2</v>
      </c>
      <c r="K110" s="22">
        <v>600</v>
      </c>
      <c r="L110" s="46">
        <f t="shared" si="100"/>
        <v>277.332681503744</v>
      </c>
      <c r="M110" s="39">
        <v>120</v>
      </c>
      <c r="N110" s="22">
        <v>12</v>
      </c>
      <c r="O110" s="22">
        <v>4</v>
      </c>
      <c r="P110" s="22">
        <v>800</v>
      </c>
      <c r="Q110" s="22">
        <v>80</v>
      </c>
      <c r="R110" s="49">
        <f aca="true" t="shared" si="113" ref="R110:R125">B110*J110/((25.4*M110/206265)*1000)</f>
        <v>1.6241338582677165</v>
      </c>
      <c r="S110" s="50">
        <f aca="true" t="shared" si="114" ref="S110:S125">940*P110*Q110/100*C110/100*3.14159*(N110*N110-O110*O110)/4*2.54*2.54</f>
        <v>214603813.20699903</v>
      </c>
      <c r="T110" s="39">
        <v>21.5</v>
      </c>
      <c r="U110" s="54">
        <f aca="true" t="shared" si="115" ref="U110:U125">(S110*(EXP(-0.4*LN(10)*T110))*R110*R110)/I110</f>
        <v>0.7109696783074574</v>
      </c>
      <c r="V110" s="54">
        <f aca="true" t="shared" si="116" ref="V110:V125">(S110*(EXP(-0.4*LN(10)*T110))*R110*R110+(J110*J110*H110))/I110</f>
        <v>64.61777487002172</v>
      </c>
      <c r="W110" s="54">
        <f aca="true" t="shared" si="117" ref="W110:W125">U110/V110</f>
        <v>0.011002695152186357</v>
      </c>
      <c r="X110" s="55">
        <f aca="true" t="shared" si="118" ref="X110:X125">SQRT(V110*K110*I110)</f>
        <v>278.4624388387527</v>
      </c>
      <c r="Y110" s="42">
        <v>21</v>
      </c>
      <c r="Z110" s="43">
        <v>2</v>
      </c>
      <c r="AA110" s="43">
        <v>3</v>
      </c>
      <c r="AB110" s="158">
        <f t="shared" si="87"/>
        <v>1.8471383899352776</v>
      </c>
      <c r="AC110" s="59">
        <f t="shared" si="86"/>
        <v>28.27431</v>
      </c>
      <c r="AD110" s="59">
        <f aca="true" t="shared" si="119" ref="AD110:AD125">AC110/(R110*R110)</f>
        <v>10.718854480306444</v>
      </c>
      <c r="AE110" s="60">
        <f aca="true" t="shared" si="120" ref="AE110:AE125">S110*EXP(-0.4*LN(10)*Y110)/I110</f>
        <v>0.427176584329146</v>
      </c>
      <c r="AF110" s="61">
        <f aca="true" t="shared" si="121" ref="AF110:AF125">SQRT((AE110*K110*I110)/(1+(MAX(1,AD110))*(V110*I110*K110+(I110*I110-1)/12+D110*D110)/(AE110*K110*I110)))</f>
        <v>0.5612863773462319</v>
      </c>
      <c r="AG110" s="62">
        <f aca="true" t="shared" si="122" ref="AG110:AG125">1.0857/AF110</f>
        <v>1.9343066994306928</v>
      </c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</row>
    <row r="111" spans="1:65" s="22" customFormat="1" ht="12.75">
      <c r="A111" s="38" t="s">
        <v>71</v>
      </c>
      <c r="B111" s="39">
        <v>12</v>
      </c>
      <c r="C111" s="39">
        <v>55</v>
      </c>
      <c r="D111" s="39">
        <v>15</v>
      </c>
      <c r="E111" s="39">
        <v>30</v>
      </c>
      <c r="F111" s="39">
        <v>6.5</v>
      </c>
      <c r="G111" s="39">
        <v>-5</v>
      </c>
      <c r="H111" s="49">
        <f t="shared" si="112"/>
        <v>10.999986629431282</v>
      </c>
      <c r="I111" s="40">
        <v>2</v>
      </c>
      <c r="J111" s="41">
        <v>2</v>
      </c>
      <c r="K111" s="22">
        <v>600</v>
      </c>
      <c r="L111" s="46">
        <f t="shared" si="100"/>
        <v>163.17235645364406</v>
      </c>
      <c r="M111" s="39">
        <v>120</v>
      </c>
      <c r="N111" s="22">
        <v>12</v>
      </c>
      <c r="O111" s="22">
        <v>4</v>
      </c>
      <c r="P111" s="22">
        <v>800</v>
      </c>
      <c r="Q111" s="22">
        <v>80</v>
      </c>
      <c r="R111" s="49">
        <f t="shared" si="113"/>
        <v>1.6241338582677165</v>
      </c>
      <c r="S111" s="50">
        <f t="shared" si="114"/>
        <v>214603813.20699903</v>
      </c>
      <c r="T111" s="39">
        <v>21.5</v>
      </c>
      <c r="U111" s="54">
        <f t="shared" si="115"/>
        <v>0.7109696783074574</v>
      </c>
      <c r="V111" s="54">
        <f t="shared" si="116"/>
        <v>22.71094293717002</v>
      </c>
      <c r="W111" s="54">
        <f t="shared" si="117"/>
        <v>0.03130515893921093</v>
      </c>
      <c r="X111" s="55">
        <f t="shared" si="118"/>
        <v>165.08522503423504</v>
      </c>
      <c r="Y111" s="42">
        <v>21</v>
      </c>
      <c r="Z111" s="43">
        <v>2</v>
      </c>
      <c r="AA111" s="43">
        <v>3</v>
      </c>
      <c r="AB111" s="158">
        <f t="shared" si="87"/>
        <v>1.8471383899352776</v>
      </c>
      <c r="AC111" s="59">
        <f t="shared" si="86"/>
        <v>28.27431</v>
      </c>
      <c r="AD111" s="59">
        <f t="shared" si="119"/>
        <v>10.718854480306444</v>
      </c>
      <c r="AE111" s="60">
        <f t="shared" si="120"/>
        <v>0.427176584329146</v>
      </c>
      <c r="AF111" s="61">
        <f t="shared" si="121"/>
        <v>0.9437160215125001</v>
      </c>
      <c r="AG111" s="62">
        <f t="shared" si="122"/>
        <v>1.150452016550425</v>
      </c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</row>
    <row r="112" spans="1:65" s="22" customFormat="1" ht="12.75">
      <c r="A112" s="38" t="s">
        <v>71</v>
      </c>
      <c r="B112" s="39">
        <v>12</v>
      </c>
      <c r="C112" s="39">
        <v>55</v>
      </c>
      <c r="D112" s="39">
        <v>15</v>
      </c>
      <c r="E112" s="39">
        <v>30</v>
      </c>
      <c r="F112" s="39">
        <v>6.5</v>
      </c>
      <c r="G112" s="39">
        <v>-15</v>
      </c>
      <c r="H112" s="49">
        <f t="shared" si="112"/>
        <v>3.7867549624700994</v>
      </c>
      <c r="I112" s="40">
        <v>2</v>
      </c>
      <c r="J112" s="41">
        <v>2</v>
      </c>
      <c r="K112" s="22">
        <v>600</v>
      </c>
      <c r="L112" s="46">
        <f t="shared" si="100"/>
        <v>96.50627912176616</v>
      </c>
      <c r="M112" s="39">
        <v>120</v>
      </c>
      <c r="N112" s="22">
        <v>12</v>
      </c>
      <c r="O112" s="22">
        <v>4</v>
      </c>
      <c r="P112" s="22">
        <v>800</v>
      </c>
      <c r="Q112" s="22">
        <v>80</v>
      </c>
      <c r="R112" s="49">
        <f t="shared" si="113"/>
        <v>1.6241338582677165</v>
      </c>
      <c r="S112" s="50">
        <f t="shared" si="114"/>
        <v>214603813.20699903</v>
      </c>
      <c r="T112" s="39">
        <v>21.5</v>
      </c>
      <c r="U112" s="54">
        <f t="shared" si="115"/>
        <v>0.7109696783074574</v>
      </c>
      <c r="V112" s="54">
        <f t="shared" si="116"/>
        <v>8.284479603247656</v>
      </c>
      <c r="W112" s="54">
        <f t="shared" si="117"/>
        <v>0.08581947356460934</v>
      </c>
      <c r="X112" s="55">
        <f t="shared" si="118"/>
        <v>99.7064467519387</v>
      </c>
      <c r="Y112" s="42">
        <v>21</v>
      </c>
      <c r="Z112" s="43">
        <v>2</v>
      </c>
      <c r="AA112" s="43">
        <v>3</v>
      </c>
      <c r="AB112" s="158">
        <f t="shared" si="87"/>
        <v>1.8471383899352776</v>
      </c>
      <c r="AC112" s="59">
        <f t="shared" si="86"/>
        <v>28.27431</v>
      </c>
      <c r="AD112" s="59">
        <f t="shared" si="119"/>
        <v>10.718854480306444</v>
      </c>
      <c r="AE112" s="60">
        <f t="shared" si="120"/>
        <v>0.427176584329146</v>
      </c>
      <c r="AF112" s="61">
        <f t="shared" si="121"/>
        <v>1.5491983549949242</v>
      </c>
      <c r="AG112" s="62">
        <f t="shared" si="122"/>
        <v>0.7008140671589839</v>
      </c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</row>
    <row r="113" spans="1:65" s="22" customFormat="1" ht="12.75">
      <c r="A113" s="38" t="s">
        <v>71</v>
      </c>
      <c r="B113" s="39">
        <v>12</v>
      </c>
      <c r="C113" s="39">
        <v>55</v>
      </c>
      <c r="D113" s="39">
        <v>15</v>
      </c>
      <c r="E113" s="39">
        <v>30</v>
      </c>
      <c r="F113" s="39">
        <v>6.5</v>
      </c>
      <c r="G113" s="39">
        <v>-25</v>
      </c>
      <c r="H113" s="49">
        <f t="shared" si="112"/>
        <v>1.303593688689176</v>
      </c>
      <c r="I113" s="40">
        <v>2</v>
      </c>
      <c r="J113" s="41">
        <v>2</v>
      </c>
      <c r="K113" s="22">
        <v>600</v>
      </c>
      <c r="L113" s="46">
        <f t="shared" si="100"/>
        <v>57.91264847038186</v>
      </c>
      <c r="M113" s="39">
        <v>120</v>
      </c>
      <c r="N113" s="22">
        <v>12</v>
      </c>
      <c r="O113" s="22">
        <v>4</v>
      </c>
      <c r="P113" s="22">
        <v>800</v>
      </c>
      <c r="Q113" s="22">
        <v>80</v>
      </c>
      <c r="R113" s="49">
        <f t="shared" si="113"/>
        <v>1.6241338582677165</v>
      </c>
      <c r="S113" s="50">
        <f t="shared" si="114"/>
        <v>214603813.20699903</v>
      </c>
      <c r="T113" s="39">
        <v>21.5</v>
      </c>
      <c r="U113" s="54">
        <f t="shared" si="115"/>
        <v>0.7109696783074574</v>
      </c>
      <c r="V113" s="54">
        <f t="shared" si="116"/>
        <v>3.318157055685809</v>
      </c>
      <c r="W113" s="54">
        <f t="shared" si="117"/>
        <v>0.21426643355810399</v>
      </c>
      <c r="X113" s="55">
        <f t="shared" si="118"/>
        <v>63.10141414281435</v>
      </c>
      <c r="Y113" s="42">
        <v>21</v>
      </c>
      <c r="Z113" s="43">
        <v>2</v>
      </c>
      <c r="AA113" s="43">
        <v>3</v>
      </c>
      <c r="AB113" s="158">
        <f t="shared" si="87"/>
        <v>1.8471383899352776</v>
      </c>
      <c r="AC113" s="59">
        <f t="shared" si="86"/>
        <v>28.27431</v>
      </c>
      <c r="AD113" s="59">
        <f t="shared" si="119"/>
        <v>10.718854480306444</v>
      </c>
      <c r="AE113" s="60">
        <f t="shared" si="120"/>
        <v>0.427176584329146</v>
      </c>
      <c r="AF113" s="61">
        <f t="shared" si="121"/>
        <v>2.4003344901126638</v>
      </c>
      <c r="AG113" s="62">
        <f t="shared" si="122"/>
        <v>0.45231196088385206</v>
      </c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</row>
    <row r="114" spans="1:65" s="22" customFormat="1" ht="12.75">
      <c r="A114" s="38" t="s">
        <v>71</v>
      </c>
      <c r="B114" s="39">
        <v>12</v>
      </c>
      <c r="C114" s="39">
        <v>55</v>
      </c>
      <c r="D114" s="39">
        <v>15</v>
      </c>
      <c r="E114" s="39">
        <v>30</v>
      </c>
      <c r="F114" s="39">
        <v>6.5</v>
      </c>
      <c r="G114" s="39">
        <v>-35</v>
      </c>
      <c r="H114" s="49">
        <f t="shared" si="112"/>
        <v>0.44876326090076846</v>
      </c>
      <c r="I114" s="40">
        <v>2</v>
      </c>
      <c r="J114" s="41">
        <v>2</v>
      </c>
      <c r="K114" s="22">
        <v>600</v>
      </c>
      <c r="L114" s="46">
        <f aca="true" t="shared" si="123" ref="L114:L129">SQRT(K114*H114*J114*J114+D114*D114+(I114*I114-1)/12)</f>
        <v>36.087142116851595</v>
      </c>
      <c r="M114" s="39">
        <v>120</v>
      </c>
      <c r="N114" s="22">
        <v>12</v>
      </c>
      <c r="O114" s="22">
        <v>4</v>
      </c>
      <c r="P114" s="22">
        <v>800</v>
      </c>
      <c r="Q114" s="22">
        <v>80</v>
      </c>
      <c r="R114" s="49">
        <f t="shared" si="113"/>
        <v>1.6241338582677165</v>
      </c>
      <c r="S114" s="50">
        <f t="shared" si="114"/>
        <v>214603813.20699903</v>
      </c>
      <c r="T114" s="39">
        <v>21.5</v>
      </c>
      <c r="U114" s="54">
        <f t="shared" si="115"/>
        <v>0.7109696783074574</v>
      </c>
      <c r="V114" s="54">
        <f t="shared" si="116"/>
        <v>1.6084962001089944</v>
      </c>
      <c r="W114" s="54">
        <f t="shared" si="117"/>
        <v>0.442008926262481</v>
      </c>
      <c r="X114" s="55">
        <f t="shared" si="118"/>
        <v>43.93398957675928</v>
      </c>
      <c r="Y114" s="42">
        <v>21</v>
      </c>
      <c r="Z114" s="43">
        <v>2</v>
      </c>
      <c r="AA114" s="43">
        <v>3</v>
      </c>
      <c r="AB114" s="158">
        <f t="shared" si="87"/>
        <v>1.8471383899352776</v>
      </c>
      <c r="AC114" s="59">
        <f t="shared" si="86"/>
        <v>28.27431</v>
      </c>
      <c r="AD114" s="59">
        <f t="shared" si="119"/>
        <v>10.718854480306444</v>
      </c>
      <c r="AE114" s="60">
        <f t="shared" si="120"/>
        <v>0.427176584329146</v>
      </c>
      <c r="AF114" s="61">
        <f t="shared" si="121"/>
        <v>3.3356521319635823</v>
      </c>
      <c r="AG114" s="62">
        <f t="shared" si="122"/>
        <v>0.32548358073564654</v>
      </c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</row>
    <row r="115" spans="1:65" s="22" customFormat="1" ht="12.75">
      <c r="A115" s="38" t="s">
        <v>71</v>
      </c>
      <c r="B115" s="39">
        <v>12</v>
      </c>
      <c r="C115" s="39">
        <v>55</v>
      </c>
      <c r="D115" s="39">
        <v>15</v>
      </c>
      <c r="E115" s="39">
        <v>30</v>
      </c>
      <c r="F115" s="39">
        <v>6.5</v>
      </c>
      <c r="G115" s="39">
        <v>-45</v>
      </c>
      <c r="H115" s="49">
        <f t="shared" si="112"/>
        <v>0.15448714279738254</v>
      </c>
      <c r="I115" s="40">
        <v>2</v>
      </c>
      <c r="J115" s="41">
        <v>2</v>
      </c>
      <c r="K115" s="22">
        <v>600</v>
      </c>
      <c r="L115" s="46">
        <f t="shared" si="123"/>
        <v>24.413503286372443</v>
      </c>
      <c r="M115" s="39">
        <v>120</v>
      </c>
      <c r="N115" s="22">
        <v>12</v>
      </c>
      <c r="O115" s="22">
        <v>4</v>
      </c>
      <c r="P115" s="22">
        <v>800</v>
      </c>
      <c r="Q115" s="22">
        <v>80</v>
      </c>
      <c r="R115" s="49">
        <f t="shared" si="113"/>
        <v>1.6241338582677165</v>
      </c>
      <c r="S115" s="50">
        <f t="shared" si="114"/>
        <v>214603813.20699903</v>
      </c>
      <c r="T115" s="39">
        <v>21.5</v>
      </c>
      <c r="U115" s="54">
        <f t="shared" si="115"/>
        <v>0.7109696783074574</v>
      </c>
      <c r="V115" s="54">
        <f t="shared" si="116"/>
        <v>1.0199439639022225</v>
      </c>
      <c r="W115" s="54">
        <f t="shared" si="117"/>
        <v>0.6970673914156473</v>
      </c>
      <c r="X115" s="55">
        <f t="shared" si="118"/>
        <v>34.98475034472401</v>
      </c>
      <c r="Y115" s="42">
        <v>21</v>
      </c>
      <c r="Z115" s="43">
        <v>2</v>
      </c>
      <c r="AA115" s="43">
        <v>3</v>
      </c>
      <c r="AB115" s="158">
        <f t="shared" si="87"/>
        <v>1.8471383899352776</v>
      </c>
      <c r="AC115" s="59">
        <f t="shared" si="86"/>
        <v>28.27431</v>
      </c>
      <c r="AD115" s="59">
        <f t="shared" si="119"/>
        <v>10.718854480306444</v>
      </c>
      <c r="AE115" s="60">
        <f t="shared" si="120"/>
        <v>0.427176584329146</v>
      </c>
      <c r="AF115" s="61">
        <f t="shared" si="121"/>
        <v>4.046715812533744</v>
      </c>
      <c r="AG115" s="62">
        <f t="shared" si="122"/>
        <v>0.26829163457372057</v>
      </c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</row>
    <row r="116" spans="1:65" s="22" customFormat="1" ht="12.75">
      <c r="A116" s="38" t="s">
        <v>71</v>
      </c>
      <c r="B116" s="39">
        <v>12</v>
      </c>
      <c r="C116" s="39">
        <v>55</v>
      </c>
      <c r="D116" s="39">
        <v>15</v>
      </c>
      <c r="E116" s="39">
        <v>30</v>
      </c>
      <c r="F116" s="39">
        <v>6.5</v>
      </c>
      <c r="G116" s="39">
        <v>-55</v>
      </c>
      <c r="H116" s="49">
        <f t="shared" si="112"/>
        <v>0.05318233324580514</v>
      </c>
      <c r="I116" s="40">
        <v>2</v>
      </c>
      <c r="J116" s="41">
        <v>2</v>
      </c>
      <c r="K116" s="22">
        <v>600</v>
      </c>
      <c r="L116" s="46">
        <f t="shared" si="123"/>
        <v>18.78530276013491</v>
      </c>
      <c r="M116" s="39">
        <v>120</v>
      </c>
      <c r="N116" s="22">
        <v>12</v>
      </c>
      <c r="O116" s="22">
        <v>4</v>
      </c>
      <c r="P116" s="22">
        <v>800</v>
      </c>
      <c r="Q116" s="22">
        <v>80</v>
      </c>
      <c r="R116" s="49">
        <f t="shared" si="113"/>
        <v>1.6241338582677165</v>
      </c>
      <c r="S116" s="50">
        <f t="shared" si="114"/>
        <v>214603813.20699903</v>
      </c>
      <c r="T116" s="39">
        <v>21.5</v>
      </c>
      <c r="U116" s="54">
        <f t="shared" si="115"/>
        <v>0.7109696783074574</v>
      </c>
      <c r="V116" s="54">
        <f t="shared" si="116"/>
        <v>0.8173343447990676</v>
      </c>
      <c r="W116" s="54">
        <f t="shared" si="117"/>
        <v>0.8698639459256312</v>
      </c>
      <c r="X116" s="55">
        <f t="shared" si="118"/>
        <v>31.317745987840205</v>
      </c>
      <c r="Y116" s="42">
        <v>21</v>
      </c>
      <c r="Z116" s="43">
        <v>2</v>
      </c>
      <c r="AA116" s="43">
        <v>3</v>
      </c>
      <c r="AB116" s="158">
        <f t="shared" si="87"/>
        <v>1.8471383899352776</v>
      </c>
      <c r="AC116" s="59">
        <f t="shared" si="86"/>
        <v>28.27431</v>
      </c>
      <c r="AD116" s="59">
        <f t="shared" si="119"/>
        <v>10.718854480306444</v>
      </c>
      <c r="AE116" s="60">
        <f t="shared" si="120"/>
        <v>0.427176584329146</v>
      </c>
      <c r="AF116" s="61">
        <f t="shared" si="121"/>
        <v>4.421681385095049</v>
      </c>
      <c r="AG116" s="62">
        <f t="shared" si="122"/>
        <v>0.24554007976688755</v>
      </c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</row>
    <row r="117" spans="1:65" s="22" customFormat="1" ht="12.75">
      <c r="A117" s="38" t="s">
        <v>71</v>
      </c>
      <c r="B117" s="39">
        <v>12</v>
      </c>
      <c r="C117" s="39">
        <v>55</v>
      </c>
      <c r="D117" s="39">
        <v>15</v>
      </c>
      <c r="E117" s="39">
        <v>30</v>
      </c>
      <c r="F117" s="39">
        <v>6.5</v>
      </c>
      <c r="G117" s="39">
        <v>-65</v>
      </c>
      <c r="H117" s="49">
        <f t="shared" si="112"/>
        <v>0.018308064465775018</v>
      </c>
      <c r="I117" s="40">
        <v>2</v>
      </c>
      <c r="J117" s="41">
        <v>2</v>
      </c>
      <c r="K117" s="22">
        <v>600</v>
      </c>
      <c r="L117" s="46">
        <f t="shared" si="123"/>
        <v>16.40699103180897</v>
      </c>
      <c r="M117" s="39">
        <v>120</v>
      </c>
      <c r="N117" s="22">
        <v>12</v>
      </c>
      <c r="O117" s="22">
        <v>4</v>
      </c>
      <c r="P117" s="22">
        <v>800</v>
      </c>
      <c r="Q117" s="22">
        <v>80</v>
      </c>
      <c r="R117" s="49">
        <f t="shared" si="113"/>
        <v>1.6241338582677165</v>
      </c>
      <c r="S117" s="50">
        <f t="shared" si="114"/>
        <v>214603813.20699903</v>
      </c>
      <c r="T117" s="39">
        <v>21.5</v>
      </c>
      <c r="U117" s="54">
        <f t="shared" si="115"/>
        <v>0.7109696783074574</v>
      </c>
      <c r="V117" s="54">
        <f t="shared" si="116"/>
        <v>0.7475858072390075</v>
      </c>
      <c r="W117" s="54">
        <f t="shared" si="117"/>
        <v>0.9510208345624147</v>
      </c>
      <c r="X117" s="55">
        <f t="shared" si="118"/>
        <v>29.951677226606343</v>
      </c>
      <c r="Y117" s="42">
        <v>21</v>
      </c>
      <c r="Z117" s="43">
        <v>2</v>
      </c>
      <c r="AA117" s="43">
        <v>3</v>
      </c>
      <c r="AB117" s="158">
        <f t="shared" si="87"/>
        <v>1.8471383899352776</v>
      </c>
      <c r="AC117" s="59">
        <f t="shared" si="86"/>
        <v>28.27431</v>
      </c>
      <c r="AD117" s="59">
        <f t="shared" si="119"/>
        <v>10.718854480306444</v>
      </c>
      <c r="AE117" s="60">
        <f t="shared" si="120"/>
        <v>0.427176584329146</v>
      </c>
      <c r="AF117" s="61">
        <f t="shared" si="121"/>
        <v>4.577083533396192</v>
      </c>
      <c r="AG117" s="62">
        <f t="shared" si="122"/>
        <v>0.23720344889454348</v>
      </c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</row>
    <row r="118" spans="1:65" s="22" customFormat="1" ht="12.75">
      <c r="A118" s="38" t="s">
        <v>71</v>
      </c>
      <c r="B118" s="39">
        <v>12</v>
      </c>
      <c r="C118" s="39">
        <v>55</v>
      </c>
      <c r="D118" s="39">
        <v>15</v>
      </c>
      <c r="E118" s="39">
        <v>30</v>
      </c>
      <c r="F118" s="39">
        <v>6.5</v>
      </c>
      <c r="G118" s="39">
        <v>-75</v>
      </c>
      <c r="H118" s="49">
        <f t="shared" si="112"/>
        <v>0.0063025671125366235</v>
      </c>
      <c r="I118" s="40">
        <v>2</v>
      </c>
      <c r="J118" s="41">
        <v>2</v>
      </c>
      <c r="K118" s="22">
        <v>600</v>
      </c>
      <c r="L118" s="46">
        <f t="shared" si="123"/>
        <v>15.504069177802577</v>
      </c>
      <c r="M118" s="39">
        <v>120</v>
      </c>
      <c r="N118" s="22">
        <v>12</v>
      </c>
      <c r="O118" s="22">
        <v>4</v>
      </c>
      <c r="P118" s="22">
        <v>800</v>
      </c>
      <c r="Q118" s="22">
        <v>80</v>
      </c>
      <c r="R118" s="49">
        <f t="shared" si="113"/>
        <v>1.6241338582677165</v>
      </c>
      <c r="S118" s="50">
        <f t="shared" si="114"/>
        <v>214603813.20699903</v>
      </c>
      <c r="T118" s="39">
        <v>21.5</v>
      </c>
      <c r="U118" s="54">
        <f t="shared" si="115"/>
        <v>0.7109696783074574</v>
      </c>
      <c r="V118" s="54">
        <f t="shared" si="116"/>
        <v>0.7235748125325306</v>
      </c>
      <c r="W118" s="54">
        <f t="shared" si="117"/>
        <v>0.9825793628982814</v>
      </c>
      <c r="X118" s="55">
        <f t="shared" si="118"/>
        <v>29.46675711779355</v>
      </c>
      <c r="Y118" s="42">
        <v>21</v>
      </c>
      <c r="Z118" s="43">
        <v>2</v>
      </c>
      <c r="AA118" s="43">
        <v>3</v>
      </c>
      <c r="AB118" s="158">
        <f t="shared" si="87"/>
        <v>1.8471383899352776</v>
      </c>
      <c r="AC118" s="59">
        <f t="shared" si="86"/>
        <v>28.27431</v>
      </c>
      <c r="AD118" s="59">
        <f t="shared" si="119"/>
        <v>10.718854480306444</v>
      </c>
      <c r="AE118" s="60">
        <f t="shared" si="120"/>
        <v>0.427176584329146</v>
      </c>
      <c r="AF118" s="61">
        <f t="shared" si="121"/>
        <v>4.634496645411657</v>
      </c>
      <c r="AG118" s="62">
        <f t="shared" si="122"/>
        <v>0.23426492304722843</v>
      </c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</row>
    <row r="119" spans="1:65" s="22" customFormat="1" ht="12.75">
      <c r="A119" s="38" t="s">
        <v>71</v>
      </c>
      <c r="B119" s="39">
        <v>24</v>
      </c>
      <c r="C119" s="39">
        <v>85</v>
      </c>
      <c r="D119" s="39">
        <v>15</v>
      </c>
      <c r="E119" s="39">
        <v>80</v>
      </c>
      <c r="F119" s="39">
        <v>7.5</v>
      </c>
      <c r="G119" s="39">
        <v>-25</v>
      </c>
      <c r="H119" s="49">
        <f t="shared" si="112"/>
        <v>28.308766233290488</v>
      </c>
      <c r="I119" s="40">
        <v>2</v>
      </c>
      <c r="J119" s="41">
        <v>1</v>
      </c>
      <c r="K119" s="22">
        <v>600</v>
      </c>
      <c r="L119" s="46">
        <f t="shared" si="123"/>
        <v>131.18883237522274</v>
      </c>
      <c r="M119" s="39">
        <v>120</v>
      </c>
      <c r="N119" s="22">
        <v>12</v>
      </c>
      <c r="O119" s="22">
        <v>4</v>
      </c>
      <c r="P119" s="22">
        <v>800</v>
      </c>
      <c r="Q119" s="22">
        <v>80</v>
      </c>
      <c r="R119" s="49">
        <f t="shared" si="113"/>
        <v>1.6241338582677165</v>
      </c>
      <c r="S119" s="50">
        <f t="shared" si="114"/>
        <v>331660438.59263486</v>
      </c>
      <c r="T119" s="39">
        <v>21.5</v>
      </c>
      <c r="U119" s="54">
        <f t="shared" si="115"/>
        <v>1.098771321020616</v>
      </c>
      <c r="V119" s="54">
        <f t="shared" si="116"/>
        <v>15.25315443766586</v>
      </c>
      <c r="W119" s="54">
        <f t="shared" si="117"/>
        <v>0.07203567796490215</v>
      </c>
      <c r="X119" s="55">
        <f t="shared" si="118"/>
        <v>135.29148282578262</v>
      </c>
      <c r="Y119" s="42">
        <v>14</v>
      </c>
      <c r="Z119" s="43">
        <v>1</v>
      </c>
      <c r="AA119" s="43">
        <v>3</v>
      </c>
      <c r="AB119" s="158">
        <f t="shared" si="87"/>
        <v>0.9235691949676388</v>
      </c>
      <c r="AC119" s="59">
        <f t="shared" si="86"/>
        <v>7.0685775</v>
      </c>
      <c r="AD119" s="59">
        <f t="shared" si="119"/>
        <v>2.679713620076611</v>
      </c>
      <c r="AE119" s="60">
        <f t="shared" si="120"/>
        <v>416.5466777846765</v>
      </c>
      <c r="AF119" s="61">
        <f t="shared" si="121"/>
        <v>674.3070575983145</v>
      </c>
      <c r="AG119" s="62">
        <f t="shared" si="122"/>
        <v>0.0016100973403228903</v>
      </c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</row>
    <row r="120" spans="1:65" s="22" customFormat="1" ht="12.75">
      <c r="A120" s="38" t="s">
        <v>71</v>
      </c>
      <c r="B120" s="39">
        <v>24</v>
      </c>
      <c r="C120" s="39">
        <v>85</v>
      </c>
      <c r="D120" s="39">
        <v>15</v>
      </c>
      <c r="E120" s="39">
        <v>80</v>
      </c>
      <c r="F120" s="39">
        <v>7.5</v>
      </c>
      <c r="G120" s="39">
        <v>-25</v>
      </c>
      <c r="H120" s="49">
        <f t="shared" si="112"/>
        <v>28.308766233290488</v>
      </c>
      <c r="I120" s="40">
        <v>2</v>
      </c>
      <c r="J120" s="41">
        <v>1</v>
      </c>
      <c r="K120" s="22">
        <v>600</v>
      </c>
      <c r="L120" s="46">
        <f t="shared" si="123"/>
        <v>131.18883237522274</v>
      </c>
      <c r="M120" s="39">
        <v>120</v>
      </c>
      <c r="N120" s="22">
        <v>12</v>
      </c>
      <c r="O120" s="22">
        <v>4</v>
      </c>
      <c r="P120" s="22">
        <v>800</v>
      </c>
      <c r="Q120" s="22">
        <v>80</v>
      </c>
      <c r="R120" s="49">
        <f t="shared" si="113"/>
        <v>1.6241338582677165</v>
      </c>
      <c r="S120" s="50">
        <f t="shared" si="114"/>
        <v>331660438.59263486</v>
      </c>
      <c r="T120" s="39">
        <v>21.5</v>
      </c>
      <c r="U120" s="54">
        <f t="shared" si="115"/>
        <v>1.098771321020616</v>
      </c>
      <c r="V120" s="54">
        <f t="shared" si="116"/>
        <v>15.25315443766586</v>
      </c>
      <c r="W120" s="54">
        <f t="shared" si="117"/>
        <v>0.07203567796490215</v>
      </c>
      <c r="X120" s="55">
        <f t="shared" si="118"/>
        <v>135.29148282578262</v>
      </c>
      <c r="Y120" s="42">
        <v>15</v>
      </c>
      <c r="Z120" s="43">
        <v>1</v>
      </c>
      <c r="AA120" s="43">
        <v>3</v>
      </c>
      <c r="AB120" s="158">
        <f t="shared" si="87"/>
        <v>0.9235691949676388</v>
      </c>
      <c r="AC120" s="59">
        <f t="shared" si="86"/>
        <v>7.0685775</v>
      </c>
      <c r="AD120" s="59">
        <f t="shared" si="119"/>
        <v>2.679713620076611</v>
      </c>
      <c r="AE120" s="60">
        <f t="shared" si="120"/>
        <v>165.83021929631693</v>
      </c>
      <c r="AF120" s="61">
        <f t="shared" si="121"/>
        <v>399.07246371682623</v>
      </c>
      <c r="AG120" s="62">
        <f t="shared" si="122"/>
        <v>0.0027205585418952657</v>
      </c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</row>
    <row r="121" spans="1:65" s="22" customFormat="1" ht="12.75">
      <c r="A121" s="38" t="s">
        <v>71</v>
      </c>
      <c r="B121" s="39">
        <v>24</v>
      </c>
      <c r="C121" s="39">
        <v>85</v>
      </c>
      <c r="D121" s="39">
        <v>15</v>
      </c>
      <c r="E121" s="39">
        <v>80</v>
      </c>
      <c r="F121" s="39">
        <v>7.5</v>
      </c>
      <c r="G121" s="39">
        <v>-25</v>
      </c>
      <c r="H121" s="49">
        <f t="shared" si="112"/>
        <v>28.308766233290488</v>
      </c>
      <c r="I121" s="40">
        <v>2</v>
      </c>
      <c r="J121" s="41">
        <v>1</v>
      </c>
      <c r="K121" s="22">
        <v>600</v>
      </c>
      <c r="L121" s="46">
        <f t="shared" si="123"/>
        <v>131.18883237522274</v>
      </c>
      <c r="M121" s="39">
        <v>120</v>
      </c>
      <c r="N121" s="22">
        <v>12</v>
      </c>
      <c r="O121" s="22">
        <v>4</v>
      </c>
      <c r="P121" s="22">
        <v>800</v>
      </c>
      <c r="Q121" s="22">
        <v>80</v>
      </c>
      <c r="R121" s="49">
        <f t="shared" si="113"/>
        <v>1.6241338582677165</v>
      </c>
      <c r="S121" s="50">
        <f t="shared" si="114"/>
        <v>331660438.59263486</v>
      </c>
      <c r="T121" s="39">
        <v>21.5</v>
      </c>
      <c r="U121" s="54">
        <f t="shared" si="115"/>
        <v>1.098771321020616</v>
      </c>
      <c r="V121" s="54">
        <f t="shared" si="116"/>
        <v>15.25315443766586</v>
      </c>
      <c r="W121" s="54">
        <f t="shared" si="117"/>
        <v>0.07203567796490215</v>
      </c>
      <c r="X121" s="55">
        <f t="shared" si="118"/>
        <v>135.29148282578262</v>
      </c>
      <c r="Y121" s="42">
        <v>16</v>
      </c>
      <c r="Z121" s="43">
        <v>1</v>
      </c>
      <c r="AA121" s="43">
        <v>3</v>
      </c>
      <c r="AB121" s="158">
        <f t="shared" si="87"/>
        <v>0.9235691949676388</v>
      </c>
      <c r="AC121" s="59">
        <f t="shared" si="86"/>
        <v>7.0685775</v>
      </c>
      <c r="AD121" s="59">
        <f t="shared" si="119"/>
        <v>2.679713620076611</v>
      </c>
      <c r="AE121" s="60">
        <f t="shared" si="120"/>
        <v>66.0181993963227</v>
      </c>
      <c r="AF121" s="61">
        <f t="shared" si="121"/>
        <v>220.6793424372968</v>
      </c>
      <c r="AG121" s="62">
        <f t="shared" si="122"/>
        <v>0.00491980802556763</v>
      </c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</row>
    <row r="122" spans="1:65" s="22" customFormat="1" ht="12.75">
      <c r="A122" s="38" t="s">
        <v>71</v>
      </c>
      <c r="B122" s="39">
        <v>24</v>
      </c>
      <c r="C122" s="39">
        <v>85</v>
      </c>
      <c r="D122" s="39">
        <v>15</v>
      </c>
      <c r="E122" s="39">
        <v>80</v>
      </c>
      <c r="F122" s="39">
        <v>7.5</v>
      </c>
      <c r="G122" s="39">
        <v>-25</v>
      </c>
      <c r="H122" s="49">
        <f t="shared" si="112"/>
        <v>28.308766233290488</v>
      </c>
      <c r="I122" s="40">
        <v>2</v>
      </c>
      <c r="J122" s="41">
        <v>1</v>
      </c>
      <c r="K122" s="22">
        <v>600</v>
      </c>
      <c r="L122" s="46">
        <f t="shared" si="123"/>
        <v>131.18883237522274</v>
      </c>
      <c r="M122" s="39">
        <v>120</v>
      </c>
      <c r="N122" s="22">
        <v>12</v>
      </c>
      <c r="O122" s="22">
        <v>4</v>
      </c>
      <c r="P122" s="22">
        <v>800</v>
      </c>
      <c r="Q122" s="22">
        <v>80</v>
      </c>
      <c r="R122" s="49">
        <f t="shared" si="113"/>
        <v>1.6241338582677165</v>
      </c>
      <c r="S122" s="50">
        <f t="shared" si="114"/>
        <v>331660438.59263486</v>
      </c>
      <c r="T122" s="39">
        <v>21.5</v>
      </c>
      <c r="U122" s="54">
        <f t="shared" si="115"/>
        <v>1.098771321020616</v>
      </c>
      <c r="V122" s="54">
        <f t="shared" si="116"/>
        <v>15.25315443766586</v>
      </c>
      <c r="W122" s="54">
        <f t="shared" si="117"/>
        <v>0.07203567796490215</v>
      </c>
      <c r="X122" s="55">
        <f t="shared" si="118"/>
        <v>135.29148282578262</v>
      </c>
      <c r="Y122" s="42">
        <v>17</v>
      </c>
      <c r="Z122" s="43">
        <v>1</v>
      </c>
      <c r="AA122" s="43">
        <v>3</v>
      </c>
      <c r="AB122" s="158">
        <f t="shared" si="87"/>
        <v>0.9235691949676388</v>
      </c>
      <c r="AC122" s="59">
        <f t="shared" si="86"/>
        <v>7.0685775</v>
      </c>
      <c r="AD122" s="59">
        <f t="shared" si="119"/>
        <v>2.679713620076611</v>
      </c>
      <c r="AE122" s="60">
        <f t="shared" si="120"/>
        <v>26.282318566706643</v>
      </c>
      <c r="AF122" s="61">
        <f t="shared" si="121"/>
        <v>110.68536425467587</v>
      </c>
      <c r="AG122" s="62">
        <f t="shared" si="122"/>
        <v>0.009808884917267958</v>
      </c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</row>
    <row r="123" spans="1:65" s="22" customFormat="1" ht="12.75">
      <c r="A123" s="38" t="s">
        <v>71</v>
      </c>
      <c r="B123" s="39">
        <v>24</v>
      </c>
      <c r="C123" s="39">
        <v>85</v>
      </c>
      <c r="D123" s="39">
        <v>15</v>
      </c>
      <c r="E123" s="39">
        <v>80</v>
      </c>
      <c r="F123" s="39">
        <v>7.5</v>
      </c>
      <c r="G123" s="39">
        <v>-25</v>
      </c>
      <c r="H123" s="49">
        <f t="shared" si="112"/>
        <v>28.308766233290488</v>
      </c>
      <c r="I123" s="40">
        <v>2</v>
      </c>
      <c r="J123" s="41">
        <v>1</v>
      </c>
      <c r="K123" s="22">
        <v>600</v>
      </c>
      <c r="L123" s="46">
        <f t="shared" si="123"/>
        <v>131.18883237522274</v>
      </c>
      <c r="M123" s="39">
        <v>120</v>
      </c>
      <c r="N123" s="22">
        <v>12</v>
      </c>
      <c r="O123" s="22">
        <v>4</v>
      </c>
      <c r="P123" s="22">
        <v>800</v>
      </c>
      <c r="Q123" s="22">
        <v>80</v>
      </c>
      <c r="R123" s="49">
        <f t="shared" si="113"/>
        <v>1.6241338582677165</v>
      </c>
      <c r="S123" s="50">
        <f t="shared" si="114"/>
        <v>331660438.59263486</v>
      </c>
      <c r="T123" s="39">
        <v>21.5</v>
      </c>
      <c r="U123" s="54">
        <f t="shared" si="115"/>
        <v>1.098771321020616</v>
      </c>
      <c r="V123" s="54">
        <f t="shared" si="116"/>
        <v>15.25315443766586</v>
      </c>
      <c r="W123" s="54">
        <f t="shared" si="117"/>
        <v>0.07203567796490215</v>
      </c>
      <c r="X123" s="55">
        <f t="shared" si="118"/>
        <v>135.29148282578262</v>
      </c>
      <c r="Y123" s="42">
        <v>18</v>
      </c>
      <c r="Z123" s="43">
        <v>1</v>
      </c>
      <c r="AA123" s="43">
        <v>3</v>
      </c>
      <c r="AB123" s="158">
        <f t="shared" si="87"/>
        <v>0.9235691949676388</v>
      </c>
      <c r="AC123" s="59">
        <f t="shared" si="86"/>
        <v>7.0685775</v>
      </c>
      <c r="AD123" s="59">
        <f t="shared" si="119"/>
        <v>2.679713620076611</v>
      </c>
      <c r="AE123" s="60">
        <f t="shared" si="120"/>
        <v>10.46317948017723</v>
      </c>
      <c r="AF123" s="61">
        <f t="shared" si="121"/>
        <v>50.34086476942073</v>
      </c>
      <c r="AG123" s="62">
        <f t="shared" si="122"/>
        <v>0.021566971584077797</v>
      </c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</row>
    <row r="124" spans="1:65" s="22" customFormat="1" ht="12.75">
      <c r="A124" s="38" t="s">
        <v>71</v>
      </c>
      <c r="B124" s="39">
        <v>24</v>
      </c>
      <c r="C124" s="39">
        <v>85</v>
      </c>
      <c r="D124" s="39">
        <v>15</v>
      </c>
      <c r="E124" s="39">
        <v>80</v>
      </c>
      <c r="F124" s="39">
        <v>7.5</v>
      </c>
      <c r="G124" s="39">
        <v>-25</v>
      </c>
      <c r="H124" s="49">
        <f t="shared" si="112"/>
        <v>28.308766233290488</v>
      </c>
      <c r="I124" s="40">
        <v>2</v>
      </c>
      <c r="J124" s="41">
        <v>1</v>
      </c>
      <c r="K124" s="22">
        <v>600</v>
      </c>
      <c r="L124" s="46">
        <f t="shared" si="123"/>
        <v>131.18883237522274</v>
      </c>
      <c r="M124" s="39">
        <v>120</v>
      </c>
      <c r="N124" s="22">
        <v>12</v>
      </c>
      <c r="O124" s="22">
        <v>4</v>
      </c>
      <c r="P124" s="22">
        <v>800</v>
      </c>
      <c r="Q124" s="22">
        <v>80</v>
      </c>
      <c r="R124" s="49">
        <f t="shared" si="113"/>
        <v>1.6241338582677165</v>
      </c>
      <c r="S124" s="50">
        <f t="shared" si="114"/>
        <v>331660438.59263486</v>
      </c>
      <c r="T124" s="39">
        <v>21.5</v>
      </c>
      <c r="U124" s="54">
        <f t="shared" si="115"/>
        <v>1.098771321020616</v>
      </c>
      <c r="V124" s="54">
        <f t="shared" si="116"/>
        <v>15.25315443766586</v>
      </c>
      <c r="W124" s="54">
        <f t="shared" si="117"/>
        <v>0.07203567796490215</v>
      </c>
      <c r="X124" s="55">
        <f t="shared" si="118"/>
        <v>135.29148282578262</v>
      </c>
      <c r="Y124" s="42">
        <v>19</v>
      </c>
      <c r="Z124" s="43">
        <v>1</v>
      </c>
      <c r="AA124" s="43">
        <v>3</v>
      </c>
      <c r="AB124" s="158">
        <f t="shared" si="87"/>
        <v>0.9235691949676388</v>
      </c>
      <c r="AC124" s="59">
        <f t="shared" si="86"/>
        <v>7.0685775</v>
      </c>
      <c r="AD124" s="59">
        <f t="shared" si="119"/>
        <v>2.679713620076611</v>
      </c>
      <c r="AE124" s="60">
        <f t="shared" si="120"/>
        <v>4.16546677784677</v>
      </c>
      <c r="AF124" s="61">
        <f t="shared" si="121"/>
        <v>21.381865461404406</v>
      </c>
      <c r="AG124" s="62">
        <f t="shared" si="122"/>
        <v>0.05077667343664453</v>
      </c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</row>
    <row r="125" spans="1:65" s="22" customFormat="1" ht="12.75">
      <c r="A125" s="38" t="s">
        <v>71</v>
      </c>
      <c r="B125" s="39">
        <v>24</v>
      </c>
      <c r="C125" s="39">
        <v>85</v>
      </c>
      <c r="D125" s="39">
        <v>15</v>
      </c>
      <c r="E125" s="39">
        <v>80</v>
      </c>
      <c r="F125" s="39">
        <v>7.5</v>
      </c>
      <c r="G125" s="39">
        <v>-25</v>
      </c>
      <c r="H125" s="49">
        <f t="shared" si="112"/>
        <v>28.308766233290488</v>
      </c>
      <c r="I125" s="40">
        <v>2</v>
      </c>
      <c r="J125" s="41">
        <v>1</v>
      </c>
      <c r="K125" s="22">
        <v>600</v>
      </c>
      <c r="L125" s="46">
        <f t="shared" si="123"/>
        <v>131.18883237522274</v>
      </c>
      <c r="M125" s="39">
        <v>120</v>
      </c>
      <c r="N125" s="22">
        <v>12</v>
      </c>
      <c r="O125" s="22">
        <v>4</v>
      </c>
      <c r="P125" s="22">
        <v>800</v>
      </c>
      <c r="Q125" s="22">
        <v>80</v>
      </c>
      <c r="R125" s="49">
        <f t="shared" si="113"/>
        <v>1.6241338582677165</v>
      </c>
      <c r="S125" s="50">
        <f t="shared" si="114"/>
        <v>331660438.59263486</v>
      </c>
      <c r="T125" s="39">
        <v>21.5</v>
      </c>
      <c r="U125" s="54">
        <f t="shared" si="115"/>
        <v>1.098771321020616</v>
      </c>
      <c r="V125" s="54">
        <f t="shared" si="116"/>
        <v>15.25315443766586</v>
      </c>
      <c r="W125" s="54">
        <f t="shared" si="117"/>
        <v>0.07203567796490215</v>
      </c>
      <c r="X125" s="55">
        <f t="shared" si="118"/>
        <v>135.29148282578262</v>
      </c>
      <c r="Y125" s="42">
        <v>20</v>
      </c>
      <c r="Z125" s="43">
        <v>1</v>
      </c>
      <c r="AA125" s="43">
        <v>3</v>
      </c>
      <c r="AB125" s="158">
        <f t="shared" si="87"/>
        <v>0.9235691949676388</v>
      </c>
      <c r="AC125" s="59">
        <f t="shared" si="86"/>
        <v>7.0685775</v>
      </c>
      <c r="AD125" s="59">
        <f t="shared" si="119"/>
        <v>2.679713620076611</v>
      </c>
      <c r="AE125" s="60">
        <f t="shared" si="120"/>
        <v>1.6583021929631714</v>
      </c>
      <c r="AF125" s="61">
        <f t="shared" si="121"/>
        <v>8.756719010971075</v>
      </c>
      <c r="AG125" s="62">
        <f t="shared" si="122"/>
        <v>0.12398479369267801</v>
      </c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</row>
    <row r="126" spans="1:65" s="22" customFormat="1" ht="12.75">
      <c r="A126" s="38" t="s">
        <v>71</v>
      </c>
      <c r="B126" s="39">
        <v>24</v>
      </c>
      <c r="C126" s="39">
        <v>85</v>
      </c>
      <c r="D126" s="39">
        <v>15</v>
      </c>
      <c r="E126" s="39">
        <v>80</v>
      </c>
      <c r="F126" s="39">
        <v>7.5</v>
      </c>
      <c r="G126" s="39">
        <v>-25</v>
      </c>
      <c r="H126" s="49">
        <f aca="true" t="shared" si="124" ref="H126:H141">B126*B126*(E126/16.022)*EXP(0.69315*(G126-25)/F126)</f>
        <v>28.308766233290488</v>
      </c>
      <c r="I126" s="40">
        <v>2</v>
      </c>
      <c r="J126" s="41">
        <v>1</v>
      </c>
      <c r="K126" s="22">
        <v>600</v>
      </c>
      <c r="L126" s="46">
        <f t="shared" si="123"/>
        <v>131.18883237522274</v>
      </c>
      <c r="M126" s="39">
        <v>120</v>
      </c>
      <c r="N126" s="22">
        <v>12</v>
      </c>
      <c r="O126" s="22">
        <v>4</v>
      </c>
      <c r="P126" s="22">
        <v>800</v>
      </c>
      <c r="Q126" s="22">
        <v>80</v>
      </c>
      <c r="R126" s="49">
        <f aca="true" t="shared" si="125" ref="R126:R141">B126*J126/((25.4*M126/206265)*1000)</f>
        <v>1.6241338582677165</v>
      </c>
      <c r="S126" s="50">
        <f aca="true" t="shared" si="126" ref="S126:S141">940*P126*Q126/100*C126/100*3.14159*(N126*N126-O126*O126)/4*2.54*2.54</f>
        <v>331660438.59263486</v>
      </c>
      <c r="T126" s="39">
        <v>21.5</v>
      </c>
      <c r="U126" s="54">
        <f aca="true" t="shared" si="127" ref="U126:U141">(S126*(EXP(-0.4*LN(10)*T126))*R126*R126)/I126</f>
        <v>1.098771321020616</v>
      </c>
      <c r="V126" s="54">
        <f aca="true" t="shared" si="128" ref="V126:V141">(S126*(EXP(-0.4*LN(10)*T126))*R126*R126+(J126*J126*H126))/I126</f>
        <v>15.25315443766586</v>
      </c>
      <c r="W126" s="54">
        <f aca="true" t="shared" si="129" ref="W126:W141">U126/V126</f>
        <v>0.07203567796490215</v>
      </c>
      <c r="X126" s="55">
        <f aca="true" t="shared" si="130" ref="X126:X141">SQRT(V126*K126*I126)</f>
        <v>135.29148282578262</v>
      </c>
      <c r="Y126" s="42">
        <v>21</v>
      </c>
      <c r="Z126" s="43">
        <v>1</v>
      </c>
      <c r="AA126" s="43">
        <v>3</v>
      </c>
      <c r="AB126" s="158">
        <f t="shared" si="87"/>
        <v>0.9235691949676388</v>
      </c>
      <c r="AC126" s="59">
        <f t="shared" si="86"/>
        <v>7.0685775</v>
      </c>
      <c r="AD126" s="59">
        <f aca="true" t="shared" si="131" ref="AD126:AD141">AC126/(R126*R126)</f>
        <v>2.679713620076611</v>
      </c>
      <c r="AE126" s="60">
        <f aca="true" t="shared" si="132" ref="AE126:AE141">S126*EXP(-0.4*LN(10)*Y126)/I126</f>
        <v>0.6601819939632256</v>
      </c>
      <c r="AF126" s="61">
        <f aca="true" t="shared" si="133" ref="AF126:AF141">SQRT((AE126*K126*I126)/(1+(MAX(1,AD126))*(V126*I126*K126+(I126*I126-1)/12+D126*D126)/(AE126*K126*I126)))</f>
        <v>3.527256433688262</v>
      </c>
      <c r="AG126" s="62">
        <f aca="true" t="shared" si="134" ref="AG126:AG141">1.0857/AF126</f>
        <v>0.30780296823067727</v>
      </c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</row>
    <row r="127" spans="1:65" s="22" customFormat="1" ht="12.75">
      <c r="A127" s="38" t="s">
        <v>71</v>
      </c>
      <c r="B127" s="39">
        <v>24</v>
      </c>
      <c r="C127" s="39">
        <v>85</v>
      </c>
      <c r="D127" s="39">
        <v>15</v>
      </c>
      <c r="E127" s="39">
        <v>80</v>
      </c>
      <c r="F127" s="39">
        <v>7.5</v>
      </c>
      <c r="G127" s="39">
        <v>-25</v>
      </c>
      <c r="H127" s="49">
        <f t="shared" si="124"/>
        <v>28.308766233290488</v>
      </c>
      <c r="I127" s="40">
        <v>2</v>
      </c>
      <c r="J127" s="41">
        <v>1</v>
      </c>
      <c r="K127" s="22">
        <v>600</v>
      </c>
      <c r="L127" s="46">
        <f t="shared" si="123"/>
        <v>131.18883237522274</v>
      </c>
      <c r="M127" s="39">
        <v>120</v>
      </c>
      <c r="N127" s="22">
        <v>12</v>
      </c>
      <c r="O127" s="22">
        <v>4</v>
      </c>
      <c r="P127" s="22">
        <v>800</v>
      </c>
      <c r="Q127" s="22">
        <v>80</v>
      </c>
      <c r="R127" s="49">
        <f t="shared" si="125"/>
        <v>1.6241338582677165</v>
      </c>
      <c r="S127" s="50">
        <f t="shared" si="126"/>
        <v>331660438.59263486</v>
      </c>
      <c r="T127" s="39">
        <v>21.5</v>
      </c>
      <c r="U127" s="54">
        <f t="shared" si="127"/>
        <v>1.098771321020616</v>
      </c>
      <c r="V127" s="54">
        <f t="shared" si="128"/>
        <v>15.25315443766586</v>
      </c>
      <c r="W127" s="54">
        <f t="shared" si="129"/>
        <v>0.07203567796490215</v>
      </c>
      <c r="X127" s="55">
        <f t="shared" si="130"/>
        <v>135.29148282578262</v>
      </c>
      <c r="Y127" s="42">
        <v>22</v>
      </c>
      <c r="Z127" s="43">
        <v>1</v>
      </c>
      <c r="AA127" s="43">
        <v>3</v>
      </c>
      <c r="AB127" s="158">
        <f t="shared" si="87"/>
        <v>0.9235691949676388</v>
      </c>
      <c r="AC127" s="59">
        <f t="shared" si="86"/>
        <v>7.0685775</v>
      </c>
      <c r="AD127" s="59">
        <f t="shared" si="131"/>
        <v>2.679713620076611</v>
      </c>
      <c r="AE127" s="60">
        <f t="shared" si="132"/>
        <v>0.2628231856670658</v>
      </c>
      <c r="AF127" s="61">
        <f t="shared" si="133"/>
        <v>1.4109102513486689</v>
      </c>
      <c r="AG127" s="62">
        <f t="shared" si="134"/>
        <v>0.7695032330810518</v>
      </c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</row>
    <row r="128" spans="1:65" s="22" customFormat="1" ht="12.75">
      <c r="A128" s="38" t="s">
        <v>71</v>
      </c>
      <c r="B128" s="39">
        <v>24</v>
      </c>
      <c r="C128" s="39">
        <v>85</v>
      </c>
      <c r="D128" s="39">
        <v>15</v>
      </c>
      <c r="E128" s="39">
        <v>80</v>
      </c>
      <c r="F128" s="39">
        <v>7.5</v>
      </c>
      <c r="G128" s="39">
        <v>-25</v>
      </c>
      <c r="H128" s="49">
        <f t="shared" si="124"/>
        <v>28.308766233290488</v>
      </c>
      <c r="I128" s="40">
        <v>2</v>
      </c>
      <c r="J128" s="41">
        <v>1</v>
      </c>
      <c r="K128" s="22">
        <v>600</v>
      </c>
      <c r="L128" s="46">
        <f t="shared" si="123"/>
        <v>131.18883237522274</v>
      </c>
      <c r="M128" s="39">
        <v>120</v>
      </c>
      <c r="N128" s="22">
        <v>12</v>
      </c>
      <c r="O128" s="22">
        <v>4</v>
      </c>
      <c r="P128" s="22">
        <v>800</v>
      </c>
      <c r="Q128" s="22">
        <v>80</v>
      </c>
      <c r="R128" s="49">
        <f t="shared" si="125"/>
        <v>1.6241338582677165</v>
      </c>
      <c r="S128" s="50">
        <f t="shared" si="126"/>
        <v>331660438.59263486</v>
      </c>
      <c r="T128" s="39">
        <v>21.5</v>
      </c>
      <c r="U128" s="54">
        <f t="shared" si="127"/>
        <v>1.098771321020616</v>
      </c>
      <c r="V128" s="54">
        <f t="shared" si="128"/>
        <v>15.25315443766586</v>
      </c>
      <c r="W128" s="54">
        <f t="shared" si="129"/>
        <v>0.07203567796490215</v>
      </c>
      <c r="X128" s="55">
        <f t="shared" si="130"/>
        <v>135.29148282578262</v>
      </c>
      <c r="Y128" s="42">
        <v>14</v>
      </c>
      <c r="Z128" s="43">
        <v>1</v>
      </c>
      <c r="AA128" s="43">
        <v>3</v>
      </c>
      <c r="AB128" s="158">
        <f t="shared" si="87"/>
        <v>0.9235691949676388</v>
      </c>
      <c r="AC128" s="59">
        <f t="shared" si="86"/>
        <v>7.0685775</v>
      </c>
      <c r="AD128" s="59">
        <f t="shared" si="131"/>
        <v>2.679713620076611</v>
      </c>
      <c r="AE128" s="60">
        <f t="shared" si="132"/>
        <v>416.5466777846765</v>
      </c>
      <c r="AF128" s="61">
        <f t="shared" si="133"/>
        <v>674.3070575983145</v>
      </c>
      <c r="AG128" s="62">
        <f t="shared" si="134"/>
        <v>0.0016100973403228903</v>
      </c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</row>
    <row r="129" spans="1:65" s="22" customFormat="1" ht="12.75">
      <c r="A129" s="38" t="s">
        <v>71</v>
      </c>
      <c r="B129" s="39">
        <v>24</v>
      </c>
      <c r="C129" s="39">
        <v>85</v>
      </c>
      <c r="D129" s="39">
        <v>15</v>
      </c>
      <c r="E129" s="39">
        <v>80</v>
      </c>
      <c r="F129" s="39">
        <v>7.5</v>
      </c>
      <c r="G129" s="39">
        <v>-25</v>
      </c>
      <c r="H129" s="49">
        <f t="shared" si="124"/>
        <v>28.308766233290488</v>
      </c>
      <c r="I129" s="40">
        <v>2</v>
      </c>
      <c r="J129" s="41">
        <v>1</v>
      </c>
      <c r="K129" s="22">
        <v>600</v>
      </c>
      <c r="L129" s="46">
        <f t="shared" si="123"/>
        <v>131.18883237522274</v>
      </c>
      <c r="M129" s="39">
        <v>120</v>
      </c>
      <c r="N129" s="22">
        <v>12</v>
      </c>
      <c r="O129" s="22">
        <v>4</v>
      </c>
      <c r="P129" s="22">
        <v>800</v>
      </c>
      <c r="Q129" s="22">
        <v>80</v>
      </c>
      <c r="R129" s="49">
        <f t="shared" si="125"/>
        <v>1.6241338582677165</v>
      </c>
      <c r="S129" s="50">
        <f t="shared" si="126"/>
        <v>331660438.59263486</v>
      </c>
      <c r="T129" s="39">
        <v>21.5</v>
      </c>
      <c r="U129" s="54">
        <f t="shared" si="127"/>
        <v>1.098771321020616</v>
      </c>
      <c r="V129" s="54">
        <f t="shared" si="128"/>
        <v>15.25315443766586</v>
      </c>
      <c r="W129" s="54">
        <f t="shared" si="129"/>
        <v>0.07203567796490215</v>
      </c>
      <c r="X129" s="55">
        <f t="shared" si="130"/>
        <v>135.29148282578262</v>
      </c>
      <c r="Y129" s="42">
        <v>15</v>
      </c>
      <c r="Z129" s="43">
        <v>1</v>
      </c>
      <c r="AA129" s="43">
        <v>3</v>
      </c>
      <c r="AB129" s="158">
        <f t="shared" si="87"/>
        <v>0.9235691949676388</v>
      </c>
      <c r="AC129" s="59">
        <f t="shared" si="86"/>
        <v>7.0685775</v>
      </c>
      <c r="AD129" s="59">
        <f t="shared" si="131"/>
        <v>2.679713620076611</v>
      </c>
      <c r="AE129" s="60">
        <f t="shared" si="132"/>
        <v>165.83021929631693</v>
      </c>
      <c r="AF129" s="61">
        <f t="shared" si="133"/>
        <v>399.07246371682623</v>
      </c>
      <c r="AG129" s="62">
        <f t="shared" si="134"/>
        <v>0.0027205585418952657</v>
      </c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</row>
    <row r="130" spans="1:65" s="22" customFormat="1" ht="12.75">
      <c r="A130" s="38" t="s">
        <v>71</v>
      </c>
      <c r="B130" s="39">
        <v>24</v>
      </c>
      <c r="C130" s="39">
        <v>85</v>
      </c>
      <c r="D130" s="39">
        <v>15</v>
      </c>
      <c r="E130" s="39">
        <v>80</v>
      </c>
      <c r="F130" s="39">
        <v>7.5</v>
      </c>
      <c r="G130" s="39">
        <v>-25</v>
      </c>
      <c r="H130" s="49">
        <f t="shared" si="124"/>
        <v>28.308766233290488</v>
      </c>
      <c r="I130" s="40">
        <v>2</v>
      </c>
      <c r="J130" s="41">
        <v>1</v>
      </c>
      <c r="K130" s="22">
        <v>600</v>
      </c>
      <c r="L130" s="46">
        <f aca="true" t="shared" si="135" ref="L130:L145">SQRT(K130*H130*J130*J130+D130*D130+(I130*I130-1)/12)</f>
        <v>131.18883237522274</v>
      </c>
      <c r="M130" s="39">
        <v>120</v>
      </c>
      <c r="N130" s="22">
        <v>12</v>
      </c>
      <c r="O130" s="22">
        <v>4</v>
      </c>
      <c r="P130" s="22">
        <v>800</v>
      </c>
      <c r="Q130" s="22">
        <v>80</v>
      </c>
      <c r="R130" s="49">
        <f t="shared" si="125"/>
        <v>1.6241338582677165</v>
      </c>
      <c r="S130" s="50">
        <f t="shared" si="126"/>
        <v>331660438.59263486</v>
      </c>
      <c r="T130" s="39">
        <v>21.5</v>
      </c>
      <c r="U130" s="54">
        <f t="shared" si="127"/>
        <v>1.098771321020616</v>
      </c>
      <c r="V130" s="54">
        <f t="shared" si="128"/>
        <v>15.25315443766586</v>
      </c>
      <c r="W130" s="54">
        <f t="shared" si="129"/>
        <v>0.07203567796490215</v>
      </c>
      <c r="X130" s="55">
        <f t="shared" si="130"/>
        <v>135.29148282578262</v>
      </c>
      <c r="Y130" s="42">
        <v>16</v>
      </c>
      <c r="Z130" s="43">
        <v>1</v>
      </c>
      <c r="AA130" s="43">
        <v>3</v>
      </c>
      <c r="AB130" s="158">
        <f t="shared" si="87"/>
        <v>0.9235691949676388</v>
      </c>
      <c r="AC130" s="59">
        <f t="shared" si="86"/>
        <v>7.0685775</v>
      </c>
      <c r="AD130" s="59">
        <f t="shared" si="131"/>
        <v>2.679713620076611</v>
      </c>
      <c r="AE130" s="60">
        <f t="shared" si="132"/>
        <v>66.0181993963227</v>
      </c>
      <c r="AF130" s="61">
        <f t="shared" si="133"/>
        <v>220.6793424372968</v>
      </c>
      <c r="AG130" s="62">
        <f t="shared" si="134"/>
        <v>0.00491980802556763</v>
      </c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</row>
    <row r="131" spans="1:65" s="22" customFormat="1" ht="12.75">
      <c r="A131" s="38" t="s">
        <v>71</v>
      </c>
      <c r="B131" s="39">
        <v>24</v>
      </c>
      <c r="C131" s="39">
        <v>85</v>
      </c>
      <c r="D131" s="39">
        <v>15</v>
      </c>
      <c r="E131" s="39">
        <v>80</v>
      </c>
      <c r="F131" s="39">
        <v>7.5</v>
      </c>
      <c r="G131" s="39">
        <v>-25</v>
      </c>
      <c r="H131" s="49">
        <f t="shared" si="124"/>
        <v>28.308766233290488</v>
      </c>
      <c r="I131" s="40">
        <v>2</v>
      </c>
      <c r="J131" s="41">
        <v>1</v>
      </c>
      <c r="K131" s="22">
        <v>600</v>
      </c>
      <c r="L131" s="46">
        <f t="shared" si="135"/>
        <v>131.18883237522274</v>
      </c>
      <c r="M131" s="39">
        <v>120</v>
      </c>
      <c r="N131" s="22">
        <v>12</v>
      </c>
      <c r="O131" s="22">
        <v>4</v>
      </c>
      <c r="P131" s="22">
        <v>800</v>
      </c>
      <c r="Q131" s="22">
        <v>80</v>
      </c>
      <c r="R131" s="49">
        <f t="shared" si="125"/>
        <v>1.6241338582677165</v>
      </c>
      <c r="S131" s="50">
        <f t="shared" si="126"/>
        <v>331660438.59263486</v>
      </c>
      <c r="T131" s="39">
        <v>21.5</v>
      </c>
      <c r="U131" s="54">
        <f t="shared" si="127"/>
        <v>1.098771321020616</v>
      </c>
      <c r="V131" s="54">
        <f t="shared" si="128"/>
        <v>15.25315443766586</v>
      </c>
      <c r="W131" s="54">
        <f t="shared" si="129"/>
        <v>0.07203567796490215</v>
      </c>
      <c r="X131" s="55">
        <f t="shared" si="130"/>
        <v>135.29148282578262</v>
      </c>
      <c r="Y131" s="42">
        <v>17</v>
      </c>
      <c r="Z131" s="43">
        <v>1</v>
      </c>
      <c r="AA131" s="43">
        <v>3</v>
      </c>
      <c r="AB131" s="158">
        <f t="shared" si="87"/>
        <v>0.9235691949676388</v>
      </c>
      <c r="AC131" s="59">
        <f t="shared" si="86"/>
        <v>7.0685775</v>
      </c>
      <c r="AD131" s="59">
        <f t="shared" si="131"/>
        <v>2.679713620076611</v>
      </c>
      <c r="AE131" s="60">
        <f t="shared" si="132"/>
        <v>26.282318566706643</v>
      </c>
      <c r="AF131" s="61">
        <f t="shared" si="133"/>
        <v>110.68536425467587</v>
      </c>
      <c r="AG131" s="62">
        <f t="shared" si="134"/>
        <v>0.009808884917267958</v>
      </c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</row>
    <row r="132" spans="1:65" s="22" customFormat="1" ht="12.75">
      <c r="A132" s="38" t="s">
        <v>71</v>
      </c>
      <c r="B132" s="39">
        <v>24</v>
      </c>
      <c r="C132" s="39">
        <v>85</v>
      </c>
      <c r="D132" s="39">
        <v>15</v>
      </c>
      <c r="E132" s="39">
        <v>80</v>
      </c>
      <c r="F132" s="39">
        <v>7.5</v>
      </c>
      <c r="G132" s="39">
        <v>-25</v>
      </c>
      <c r="H132" s="49">
        <f t="shared" si="124"/>
        <v>28.308766233290488</v>
      </c>
      <c r="I132" s="40">
        <v>2</v>
      </c>
      <c r="J132" s="41">
        <v>1</v>
      </c>
      <c r="K132" s="22">
        <v>600</v>
      </c>
      <c r="L132" s="46">
        <f t="shared" si="135"/>
        <v>131.18883237522274</v>
      </c>
      <c r="M132" s="39">
        <v>120</v>
      </c>
      <c r="N132" s="22">
        <v>12</v>
      </c>
      <c r="O132" s="22">
        <v>4</v>
      </c>
      <c r="P132" s="22">
        <v>800</v>
      </c>
      <c r="Q132" s="22">
        <v>80</v>
      </c>
      <c r="R132" s="49">
        <f t="shared" si="125"/>
        <v>1.6241338582677165</v>
      </c>
      <c r="S132" s="50">
        <f t="shared" si="126"/>
        <v>331660438.59263486</v>
      </c>
      <c r="T132" s="39">
        <v>21.5</v>
      </c>
      <c r="U132" s="54">
        <f t="shared" si="127"/>
        <v>1.098771321020616</v>
      </c>
      <c r="V132" s="54">
        <f t="shared" si="128"/>
        <v>15.25315443766586</v>
      </c>
      <c r="W132" s="54">
        <f t="shared" si="129"/>
        <v>0.07203567796490215</v>
      </c>
      <c r="X132" s="55">
        <f t="shared" si="130"/>
        <v>135.29148282578262</v>
      </c>
      <c r="Y132" s="42">
        <v>18</v>
      </c>
      <c r="Z132" s="43">
        <v>1</v>
      </c>
      <c r="AA132" s="43">
        <v>3</v>
      </c>
      <c r="AB132" s="158">
        <f t="shared" si="87"/>
        <v>0.9235691949676388</v>
      </c>
      <c r="AC132" s="59">
        <f t="shared" si="86"/>
        <v>7.0685775</v>
      </c>
      <c r="AD132" s="59">
        <f t="shared" si="131"/>
        <v>2.679713620076611</v>
      </c>
      <c r="AE132" s="60">
        <f t="shared" si="132"/>
        <v>10.46317948017723</v>
      </c>
      <c r="AF132" s="61">
        <f t="shared" si="133"/>
        <v>50.34086476942073</v>
      </c>
      <c r="AG132" s="62">
        <f t="shared" si="134"/>
        <v>0.021566971584077797</v>
      </c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</row>
    <row r="133" spans="1:65" s="22" customFormat="1" ht="12.75">
      <c r="A133" s="38" t="s">
        <v>71</v>
      </c>
      <c r="B133" s="39">
        <v>24</v>
      </c>
      <c r="C133" s="39">
        <v>85</v>
      </c>
      <c r="D133" s="39">
        <v>15</v>
      </c>
      <c r="E133" s="39">
        <v>80</v>
      </c>
      <c r="F133" s="39">
        <v>7.5</v>
      </c>
      <c r="G133" s="39">
        <v>-25</v>
      </c>
      <c r="H133" s="49">
        <f t="shared" si="124"/>
        <v>28.308766233290488</v>
      </c>
      <c r="I133" s="40">
        <v>2</v>
      </c>
      <c r="J133" s="41">
        <v>1</v>
      </c>
      <c r="K133" s="22">
        <v>600</v>
      </c>
      <c r="L133" s="46">
        <f t="shared" si="135"/>
        <v>131.18883237522274</v>
      </c>
      <c r="M133" s="39">
        <v>120</v>
      </c>
      <c r="N133" s="22">
        <v>12</v>
      </c>
      <c r="O133" s="22">
        <v>4</v>
      </c>
      <c r="P133" s="22">
        <v>800</v>
      </c>
      <c r="Q133" s="22">
        <v>80</v>
      </c>
      <c r="R133" s="49">
        <f t="shared" si="125"/>
        <v>1.6241338582677165</v>
      </c>
      <c r="S133" s="50">
        <f t="shared" si="126"/>
        <v>331660438.59263486</v>
      </c>
      <c r="T133" s="39">
        <v>21.5</v>
      </c>
      <c r="U133" s="54">
        <f t="shared" si="127"/>
        <v>1.098771321020616</v>
      </c>
      <c r="V133" s="54">
        <f t="shared" si="128"/>
        <v>15.25315443766586</v>
      </c>
      <c r="W133" s="54">
        <f t="shared" si="129"/>
        <v>0.07203567796490215</v>
      </c>
      <c r="X133" s="55">
        <f t="shared" si="130"/>
        <v>135.29148282578262</v>
      </c>
      <c r="Y133" s="42">
        <v>19</v>
      </c>
      <c r="Z133" s="43">
        <v>1</v>
      </c>
      <c r="AA133" s="43">
        <v>3</v>
      </c>
      <c r="AB133" s="158">
        <f t="shared" si="87"/>
        <v>0.9235691949676388</v>
      </c>
      <c r="AC133" s="59">
        <f t="shared" si="86"/>
        <v>7.0685775</v>
      </c>
      <c r="AD133" s="59">
        <f t="shared" si="131"/>
        <v>2.679713620076611</v>
      </c>
      <c r="AE133" s="60">
        <f t="shared" si="132"/>
        <v>4.16546677784677</v>
      </c>
      <c r="AF133" s="61">
        <f t="shared" si="133"/>
        <v>21.381865461404406</v>
      </c>
      <c r="AG133" s="62">
        <f t="shared" si="134"/>
        <v>0.05077667343664453</v>
      </c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</row>
    <row r="134" spans="1:65" s="22" customFormat="1" ht="12.75">
      <c r="A134" s="38" t="s">
        <v>71</v>
      </c>
      <c r="B134" s="39">
        <v>24</v>
      </c>
      <c r="C134" s="39">
        <v>85</v>
      </c>
      <c r="D134" s="39">
        <v>15</v>
      </c>
      <c r="E134" s="39">
        <v>80</v>
      </c>
      <c r="F134" s="39">
        <v>7.5</v>
      </c>
      <c r="G134" s="39">
        <v>-25</v>
      </c>
      <c r="H134" s="49">
        <f t="shared" si="124"/>
        <v>28.308766233290488</v>
      </c>
      <c r="I134" s="40">
        <v>2</v>
      </c>
      <c r="J134" s="41">
        <v>1</v>
      </c>
      <c r="K134" s="22">
        <v>600</v>
      </c>
      <c r="L134" s="46">
        <f t="shared" si="135"/>
        <v>131.18883237522274</v>
      </c>
      <c r="M134" s="39">
        <v>120</v>
      </c>
      <c r="N134" s="22">
        <v>12</v>
      </c>
      <c r="O134" s="22">
        <v>4</v>
      </c>
      <c r="P134" s="22">
        <v>800</v>
      </c>
      <c r="Q134" s="22">
        <v>80</v>
      </c>
      <c r="R134" s="49">
        <f t="shared" si="125"/>
        <v>1.6241338582677165</v>
      </c>
      <c r="S134" s="50">
        <f t="shared" si="126"/>
        <v>331660438.59263486</v>
      </c>
      <c r="T134" s="39">
        <v>21.5</v>
      </c>
      <c r="U134" s="54">
        <f t="shared" si="127"/>
        <v>1.098771321020616</v>
      </c>
      <c r="V134" s="54">
        <f t="shared" si="128"/>
        <v>15.25315443766586</v>
      </c>
      <c r="W134" s="54">
        <f t="shared" si="129"/>
        <v>0.07203567796490215</v>
      </c>
      <c r="X134" s="55">
        <f t="shared" si="130"/>
        <v>135.29148282578262</v>
      </c>
      <c r="Y134" s="42">
        <v>20</v>
      </c>
      <c r="Z134" s="43">
        <v>1</v>
      </c>
      <c r="AA134" s="43">
        <v>3</v>
      </c>
      <c r="AB134" s="158">
        <f t="shared" si="87"/>
        <v>0.9235691949676388</v>
      </c>
      <c r="AC134" s="59">
        <f t="shared" si="86"/>
        <v>7.0685775</v>
      </c>
      <c r="AD134" s="59">
        <f t="shared" si="131"/>
        <v>2.679713620076611</v>
      </c>
      <c r="AE134" s="60">
        <f t="shared" si="132"/>
        <v>1.6583021929631714</v>
      </c>
      <c r="AF134" s="61">
        <f t="shared" si="133"/>
        <v>8.756719010971075</v>
      </c>
      <c r="AG134" s="62">
        <f t="shared" si="134"/>
        <v>0.12398479369267801</v>
      </c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</row>
    <row r="135" spans="1:65" s="22" customFormat="1" ht="12.75">
      <c r="A135" s="38" t="s">
        <v>71</v>
      </c>
      <c r="B135" s="39">
        <v>24</v>
      </c>
      <c r="C135" s="39">
        <v>85</v>
      </c>
      <c r="D135" s="39">
        <v>15</v>
      </c>
      <c r="E135" s="39">
        <v>80</v>
      </c>
      <c r="F135" s="39">
        <v>7.5</v>
      </c>
      <c r="G135" s="39">
        <v>-25</v>
      </c>
      <c r="H135" s="49">
        <f t="shared" si="124"/>
        <v>28.308766233290488</v>
      </c>
      <c r="I135" s="40">
        <v>2</v>
      </c>
      <c r="J135" s="41">
        <v>1</v>
      </c>
      <c r="K135" s="22">
        <v>600</v>
      </c>
      <c r="L135" s="46">
        <f t="shared" si="135"/>
        <v>131.18883237522274</v>
      </c>
      <c r="M135" s="39">
        <v>120</v>
      </c>
      <c r="N135" s="22">
        <v>12</v>
      </c>
      <c r="O135" s="22">
        <v>4</v>
      </c>
      <c r="P135" s="22">
        <v>800</v>
      </c>
      <c r="Q135" s="22">
        <v>80</v>
      </c>
      <c r="R135" s="49">
        <f t="shared" si="125"/>
        <v>1.6241338582677165</v>
      </c>
      <c r="S135" s="50">
        <f t="shared" si="126"/>
        <v>331660438.59263486</v>
      </c>
      <c r="T135" s="39">
        <v>21.5</v>
      </c>
      <c r="U135" s="54">
        <f t="shared" si="127"/>
        <v>1.098771321020616</v>
      </c>
      <c r="V135" s="54">
        <f t="shared" si="128"/>
        <v>15.25315443766586</v>
      </c>
      <c r="W135" s="54">
        <f t="shared" si="129"/>
        <v>0.07203567796490215</v>
      </c>
      <c r="X135" s="55">
        <f t="shared" si="130"/>
        <v>135.29148282578262</v>
      </c>
      <c r="Y135" s="42">
        <v>21</v>
      </c>
      <c r="Z135" s="43">
        <v>1</v>
      </c>
      <c r="AA135" s="43">
        <v>3</v>
      </c>
      <c r="AB135" s="158">
        <f t="shared" si="87"/>
        <v>0.9235691949676388</v>
      </c>
      <c r="AC135" s="59">
        <f t="shared" si="86"/>
        <v>7.0685775</v>
      </c>
      <c r="AD135" s="59">
        <f t="shared" si="131"/>
        <v>2.679713620076611</v>
      </c>
      <c r="AE135" s="60">
        <f t="shared" si="132"/>
        <v>0.6601819939632256</v>
      </c>
      <c r="AF135" s="61">
        <f t="shared" si="133"/>
        <v>3.527256433688262</v>
      </c>
      <c r="AG135" s="62">
        <f t="shared" si="134"/>
        <v>0.30780296823067727</v>
      </c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</row>
    <row r="136" spans="1:65" s="22" customFormat="1" ht="12.75">
      <c r="A136" s="38" t="s">
        <v>71</v>
      </c>
      <c r="B136" s="39">
        <v>24</v>
      </c>
      <c r="C136" s="39">
        <v>85</v>
      </c>
      <c r="D136" s="39">
        <v>15</v>
      </c>
      <c r="E136" s="39">
        <v>80</v>
      </c>
      <c r="F136" s="39">
        <v>7.5</v>
      </c>
      <c r="G136" s="39">
        <v>-25</v>
      </c>
      <c r="H136" s="49">
        <f t="shared" si="124"/>
        <v>28.308766233290488</v>
      </c>
      <c r="I136" s="40">
        <v>2</v>
      </c>
      <c r="J136" s="41">
        <v>1</v>
      </c>
      <c r="K136" s="22">
        <v>600</v>
      </c>
      <c r="L136" s="46">
        <f t="shared" si="135"/>
        <v>131.18883237522274</v>
      </c>
      <c r="M136" s="39">
        <v>120</v>
      </c>
      <c r="N136" s="22">
        <v>12</v>
      </c>
      <c r="O136" s="22">
        <v>4</v>
      </c>
      <c r="P136" s="22">
        <v>800</v>
      </c>
      <c r="Q136" s="22">
        <v>80</v>
      </c>
      <c r="R136" s="49">
        <f t="shared" si="125"/>
        <v>1.6241338582677165</v>
      </c>
      <c r="S136" s="50">
        <f t="shared" si="126"/>
        <v>331660438.59263486</v>
      </c>
      <c r="T136" s="39">
        <v>21.5</v>
      </c>
      <c r="U136" s="54">
        <f t="shared" si="127"/>
        <v>1.098771321020616</v>
      </c>
      <c r="V136" s="54">
        <f t="shared" si="128"/>
        <v>15.25315443766586</v>
      </c>
      <c r="W136" s="54">
        <f t="shared" si="129"/>
        <v>0.07203567796490215</v>
      </c>
      <c r="X136" s="55">
        <f t="shared" si="130"/>
        <v>135.29148282578262</v>
      </c>
      <c r="Y136" s="42">
        <v>22</v>
      </c>
      <c r="Z136" s="43">
        <v>1</v>
      </c>
      <c r="AA136" s="43">
        <v>3</v>
      </c>
      <c r="AB136" s="158">
        <f t="shared" si="87"/>
        <v>0.9235691949676388</v>
      </c>
      <c r="AC136" s="59">
        <f t="shared" si="86"/>
        <v>7.0685775</v>
      </c>
      <c r="AD136" s="59">
        <f t="shared" si="131"/>
        <v>2.679713620076611</v>
      </c>
      <c r="AE136" s="60">
        <f t="shared" si="132"/>
        <v>0.2628231856670658</v>
      </c>
      <c r="AF136" s="61">
        <f t="shared" si="133"/>
        <v>1.4109102513486689</v>
      </c>
      <c r="AG136" s="62">
        <f t="shared" si="134"/>
        <v>0.7695032330810518</v>
      </c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</row>
    <row r="137" spans="1:65" s="22" customFormat="1" ht="12.75">
      <c r="A137" s="38" t="s">
        <v>71</v>
      </c>
      <c r="B137" s="39">
        <v>24</v>
      </c>
      <c r="C137" s="39">
        <v>85</v>
      </c>
      <c r="D137" s="39">
        <v>15</v>
      </c>
      <c r="E137" s="39">
        <v>80</v>
      </c>
      <c r="F137" s="39">
        <v>7.5</v>
      </c>
      <c r="G137" s="39">
        <v>-25</v>
      </c>
      <c r="H137" s="49">
        <f t="shared" si="124"/>
        <v>28.308766233290488</v>
      </c>
      <c r="I137" s="40">
        <v>2</v>
      </c>
      <c r="J137" s="41">
        <v>1</v>
      </c>
      <c r="K137" s="22">
        <v>600</v>
      </c>
      <c r="L137" s="46">
        <f t="shared" si="135"/>
        <v>131.18883237522274</v>
      </c>
      <c r="M137" s="39">
        <v>120</v>
      </c>
      <c r="N137" s="22">
        <v>12</v>
      </c>
      <c r="O137" s="22">
        <v>4</v>
      </c>
      <c r="P137" s="22">
        <v>800</v>
      </c>
      <c r="Q137" s="22">
        <v>80</v>
      </c>
      <c r="R137" s="49">
        <f t="shared" si="125"/>
        <v>1.6241338582677165</v>
      </c>
      <c r="S137" s="50">
        <f t="shared" si="126"/>
        <v>331660438.59263486</v>
      </c>
      <c r="T137" s="39">
        <v>21.5</v>
      </c>
      <c r="U137" s="54">
        <f t="shared" si="127"/>
        <v>1.098771321020616</v>
      </c>
      <c r="V137" s="54">
        <f t="shared" si="128"/>
        <v>15.25315443766586</v>
      </c>
      <c r="W137" s="54">
        <f t="shared" si="129"/>
        <v>0.07203567796490215</v>
      </c>
      <c r="X137" s="55">
        <f t="shared" si="130"/>
        <v>135.29148282578262</v>
      </c>
      <c r="Y137" s="42">
        <v>14</v>
      </c>
      <c r="Z137" s="43">
        <v>1</v>
      </c>
      <c r="AA137" s="43">
        <v>3</v>
      </c>
      <c r="AB137" s="158">
        <f t="shared" si="87"/>
        <v>0.9235691949676388</v>
      </c>
      <c r="AC137" s="59">
        <f t="shared" si="86"/>
        <v>7.0685775</v>
      </c>
      <c r="AD137" s="59">
        <f t="shared" si="131"/>
        <v>2.679713620076611</v>
      </c>
      <c r="AE137" s="60">
        <f t="shared" si="132"/>
        <v>416.5466777846765</v>
      </c>
      <c r="AF137" s="61">
        <f t="shared" si="133"/>
        <v>674.3070575983145</v>
      </c>
      <c r="AG137" s="62">
        <f t="shared" si="134"/>
        <v>0.0016100973403228903</v>
      </c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</row>
    <row r="138" spans="1:65" s="22" customFormat="1" ht="12.75">
      <c r="A138" s="38" t="s">
        <v>71</v>
      </c>
      <c r="B138" s="39">
        <v>24</v>
      </c>
      <c r="C138" s="39">
        <v>85</v>
      </c>
      <c r="D138" s="39">
        <v>15</v>
      </c>
      <c r="E138" s="39">
        <v>80</v>
      </c>
      <c r="F138" s="39">
        <v>7.5</v>
      </c>
      <c r="G138" s="39">
        <v>-25</v>
      </c>
      <c r="H138" s="49">
        <f t="shared" si="124"/>
        <v>28.308766233290488</v>
      </c>
      <c r="I138" s="40">
        <v>2</v>
      </c>
      <c r="J138" s="41">
        <v>1</v>
      </c>
      <c r="K138" s="22">
        <v>600</v>
      </c>
      <c r="L138" s="46">
        <f t="shared" si="135"/>
        <v>131.18883237522274</v>
      </c>
      <c r="M138" s="39">
        <v>120</v>
      </c>
      <c r="N138" s="22">
        <v>12</v>
      </c>
      <c r="O138" s="22">
        <v>4</v>
      </c>
      <c r="P138" s="22">
        <v>800</v>
      </c>
      <c r="Q138" s="22">
        <v>80</v>
      </c>
      <c r="R138" s="49">
        <f t="shared" si="125"/>
        <v>1.6241338582677165</v>
      </c>
      <c r="S138" s="50">
        <f t="shared" si="126"/>
        <v>331660438.59263486</v>
      </c>
      <c r="T138" s="39">
        <v>21.5</v>
      </c>
      <c r="U138" s="54">
        <f t="shared" si="127"/>
        <v>1.098771321020616</v>
      </c>
      <c r="V138" s="54">
        <f t="shared" si="128"/>
        <v>15.25315443766586</v>
      </c>
      <c r="W138" s="54">
        <f t="shared" si="129"/>
        <v>0.07203567796490215</v>
      </c>
      <c r="X138" s="55">
        <f t="shared" si="130"/>
        <v>135.29148282578262</v>
      </c>
      <c r="Y138" s="42">
        <v>15</v>
      </c>
      <c r="Z138" s="43">
        <v>1</v>
      </c>
      <c r="AA138" s="43">
        <v>3</v>
      </c>
      <c r="AB138" s="158">
        <f t="shared" si="87"/>
        <v>0.9235691949676388</v>
      </c>
      <c r="AC138" s="59">
        <f t="shared" si="86"/>
        <v>7.0685775</v>
      </c>
      <c r="AD138" s="59">
        <f t="shared" si="131"/>
        <v>2.679713620076611</v>
      </c>
      <c r="AE138" s="60">
        <f t="shared" si="132"/>
        <v>165.83021929631693</v>
      </c>
      <c r="AF138" s="61">
        <f t="shared" si="133"/>
        <v>399.07246371682623</v>
      </c>
      <c r="AG138" s="62">
        <f t="shared" si="134"/>
        <v>0.0027205585418952657</v>
      </c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</row>
    <row r="139" spans="1:65" s="22" customFormat="1" ht="12.75">
      <c r="A139" s="38" t="s">
        <v>71</v>
      </c>
      <c r="B139" s="39">
        <v>24</v>
      </c>
      <c r="C139" s="39">
        <v>85</v>
      </c>
      <c r="D139" s="39">
        <v>15</v>
      </c>
      <c r="E139" s="39">
        <v>80</v>
      </c>
      <c r="F139" s="39">
        <v>7.5</v>
      </c>
      <c r="G139" s="39">
        <v>-25</v>
      </c>
      <c r="H139" s="49">
        <f t="shared" si="124"/>
        <v>28.308766233290488</v>
      </c>
      <c r="I139" s="40">
        <v>2</v>
      </c>
      <c r="J139" s="41">
        <v>1</v>
      </c>
      <c r="K139" s="22">
        <v>600</v>
      </c>
      <c r="L139" s="46">
        <f t="shared" si="135"/>
        <v>131.18883237522274</v>
      </c>
      <c r="M139" s="39">
        <v>120</v>
      </c>
      <c r="N139" s="22">
        <v>12</v>
      </c>
      <c r="O139" s="22">
        <v>4</v>
      </c>
      <c r="P139" s="22">
        <v>800</v>
      </c>
      <c r="Q139" s="22">
        <v>80</v>
      </c>
      <c r="R139" s="49">
        <f t="shared" si="125"/>
        <v>1.6241338582677165</v>
      </c>
      <c r="S139" s="50">
        <f t="shared" si="126"/>
        <v>331660438.59263486</v>
      </c>
      <c r="T139" s="39">
        <v>21.5</v>
      </c>
      <c r="U139" s="54">
        <f t="shared" si="127"/>
        <v>1.098771321020616</v>
      </c>
      <c r="V139" s="54">
        <f t="shared" si="128"/>
        <v>15.25315443766586</v>
      </c>
      <c r="W139" s="54">
        <f t="shared" si="129"/>
        <v>0.07203567796490215</v>
      </c>
      <c r="X139" s="55">
        <f t="shared" si="130"/>
        <v>135.29148282578262</v>
      </c>
      <c r="Y139" s="42">
        <v>16</v>
      </c>
      <c r="Z139" s="43">
        <v>1</v>
      </c>
      <c r="AA139" s="43">
        <v>3</v>
      </c>
      <c r="AB139" s="158">
        <f t="shared" si="87"/>
        <v>0.9235691949676388</v>
      </c>
      <c r="AC139" s="59">
        <f t="shared" si="86"/>
        <v>7.0685775</v>
      </c>
      <c r="AD139" s="59">
        <f t="shared" si="131"/>
        <v>2.679713620076611</v>
      </c>
      <c r="AE139" s="60">
        <f t="shared" si="132"/>
        <v>66.0181993963227</v>
      </c>
      <c r="AF139" s="61">
        <f t="shared" si="133"/>
        <v>220.6793424372968</v>
      </c>
      <c r="AG139" s="62">
        <f t="shared" si="134"/>
        <v>0.00491980802556763</v>
      </c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</row>
    <row r="140" spans="1:65" s="22" customFormat="1" ht="12.75">
      <c r="A140" s="38" t="s">
        <v>71</v>
      </c>
      <c r="B140" s="39">
        <v>24</v>
      </c>
      <c r="C140" s="39">
        <v>85</v>
      </c>
      <c r="D140" s="39">
        <v>15</v>
      </c>
      <c r="E140" s="39">
        <v>80</v>
      </c>
      <c r="F140" s="39">
        <v>7.5</v>
      </c>
      <c r="G140" s="39">
        <v>-25</v>
      </c>
      <c r="H140" s="49">
        <f t="shared" si="124"/>
        <v>28.308766233290488</v>
      </c>
      <c r="I140" s="40">
        <v>2</v>
      </c>
      <c r="J140" s="41">
        <v>1</v>
      </c>
      <c r="K140" s="22">
        <v>600</v>
      </c>
      <c r="L140" s="46">
        <f t="shared" si="135"/>
        <v>131.18883237522274</v>
      </c>
      <c r="M140" s="39">
        <v>120</v>
      </c>
      <c r="N140" s="22">
        <v>12</v>
      </c>
      <c r="O140" s="22">
        <v>4</v>
      </c>
      <c r="P140" s="22">
        <v>800</v>
      </c>
      <c r="Q140" s="22">
        <v>80</v>
      </c>
      <c r="R140" s="49">
        <f t="shared" si="125"/>
        <v>1.6241338582677165</v>
      </c>
      <c r="S140" s="50">
        <f t="shared" si="126"/>
        <v>331660438.59263486</v>
      </c>
      <c r="T140" s="39">
        <v>21.5</v>
      </c>
      <c r="U140" s="54">
        <f t="shared" si="127"/>
        <v>1.098771321020616</v>
      </c>
      <c r="V140" s="54">
        <f t="shared" si="128"/>
        <v>15.25315443766586</v>
      </c>
      <c r="W140" s="54">
        <f t="shared" si="129"/>
        <v>0.07203567796490215</v>
      </c>
      <c r="X140" s="55">
        <f t="shared" si="130"/>
        <v>135.29148282578262</v>
      </c>
      <c r="Y140" s="42">
        <v>17</v>
      </c>
      <c r="Z140" s="43">
        <v>1</v>
      </c>
      <c r="AA140" s="43">
        <v>3</v>
      </c>
      <c r="AB140" s="158">
        <f t="shared" si="87"/>
        <v>0.9235691949676388</v>
      </c>
      <c r="AC140" s="59">
        <f t="shared" si="86"/>
        <v>7.0685775</v>
      </c>
      <c r="AD140" s="59">
        <f t="shared" si="131"/>
        <v>2.679713620076611</v>
      </c>
      <c r="AE140" s="60">
        <f t="shared" si="132"/>
        <v>26.282318566706643</v>
      </c>
      <c r="AF140" s="61">
        <f t="shared" si="133"/>
        <v>110.68536425467587</v>
      </c>
      <c r="AG140" s="62">
        <f t="shared" si="134"/>
        <v>0.009808884917267958</v>
      </c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</row>
    <row r="141" spans="1:65" s="22" customFormat="1" ht="12.75">
      <c r="A141" s="38" t="s">
        <v>71</v>
      </c>
      <c r="B141" s="39">
        <v>24</v>
      </c>
      <c r="C141" s="39">
        <v>85</v>
      </c>
      <c r="D141" s="39">
        <v>15</v>
      </c>
      <c r="E141" s="39">
        <v>80</v>
      </c>
      <c r="F141" s="39">
        <v>7.5</v>
      </c>
      <c r="G141" s="39">
        <v>-25</v>
      </c>
      <c r="H141" s="49">
        <f t="shared" si="124"/>
        <v>28.308766233290488</v>
      </c>
      <c r="I141" s="40">
        <v>2</v>
      </c>
      <c r="J141" s="41">
        <v>1</v>
      </c>
      <c r="K141" s="22">
        <v>600</v>
      </c>
      <c r="L141" s="46">
        <f t="shared" si="135"/>
        <v>131.18883237522274</v>
      </c>
      <c r="M141" s="39">
        <v>120</v>
      </c>
      <c r="N141" s="22">
        <v>12</v>
      </c>
      <c r="O141" s="22">
        <v>4</v>
      </c>
      <c r="P141" s="22">
        <v>800</v>
      </c>
      <c r="Q141" s="22">
        <v>80</v>
      </c>
      <c r="R141" s="49">
        <f t="shared" si="125"/>
        <v>1.6241338582677165</v>
      </c>
      <c r="S141" s="50">
        <f t="shared" si="126"/>
        <v>331660438.59263486</v>
      </c>
      <c r="T141" s="39">
        <v>21.5</v>
      </c>
      <c r="U141" s="54">
        <f t="shared" si="127"/>
        <v>1.098771321020616</v>
      </c>
      <c r="V141" s="54">
        <f t="shared" si="128"/>
        <v>15.25315443766586</v>
      </c>
      <c r="W141" s="54">
        <f t="shared" si="129"/>
        <v>0.07203567796490215</v>
      </c>
      <c r="X141" s="55">
        <f t="shared" si="130"/>
        <v>135.29148282578262</v>
      </c>
      <c r="Y141" s="42">
        <v>18</v>
      </c>
      <c r="Z141" s="43">
        <v>1</v>
      </c>
      <c r="AA141" s="43">
        <v>3</v>
      </c>
      <c r="AB141" s="158">
        <f t="shared" si="87"/>
        <v>0.9235691949676388</v>
      </c>
      <c r="AC141" s="59">
        <f t="shared" si="86"/>
        <v>7.0685775</v>
      </c>
      <c r="AD141" s="59">
        <f t="shared" si="131"/>
        <v>2.679713620076611</v>
      </c>
      <c r="AE141" s="60">
        <f t="shared" si="132"/>
        <v>10.46317948017723</v>
      </c>
      <c r="AF141" s="61">
        <f t="shared" si="133"/>
        <v>50.34086476942073</v>
      </c>
      <c r="AG141" s="62">
        <f t="shared" si="134"/>
        <v>0.021566971584077797</v>
      </c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</row>
    <row r="142" spans="1:65" s="22" customFormat="1" ht="12.75">
      <c r="A142" s="38" t="s">
        <v>71</v>
      </c>
      <c r="B142" s="39">
        <v>24</v>
      </c>
      <c r="C142" s="39">
        <v>85</v>
      </c>
      <c r="D142" s="39">
        <v>15</v>
      </c>
      <c r="E142" s="39">
        <v>80</v>
      </c>
      <c r="F142" s="39">
        <v>7.5</v>
      </c>
      <c r="G142" s="39">
        <v>-25</v>
      </c>
      <c r="H142" s="49">
        <f aca="true" t="shared" si="136" ref="H142:H157">B142*B142*(E142/16.022)*EXP(0.69315*(G142-25)/F142)</f>
        <v>28.308766233290488</v>
      </c>
      <c r="I142" s="40">
        <v>2</v>
      </c>
      <c r="J142" s="41">
        <v>1</v>
      </c>
      <c r="K142" s="22">
        <v>600</v>
      </c>
      <c r="L142" s="46">
        <f t="shared" si="135"/>
        <v>131.18883237522274</v>
      </c>
      <c r="M142" s="39">
        <v>120</v>
      </c>
      <c r="N142" s="22">
        <v>12</v>
      </c>
      <c r="O142" s="22">
        <v>4</v>
      </c>
      <c r="P142" s="22">
        <v>800</v>
      </c>
      <c r="Q142" s="22">
        <v>80</v>
      </c>
      <c r="R142" s="49">
        <f aca="true" t="shared" si="137" ref="R142:R157">B142*J142/((25.4*M142/206265)*1000)</f>
        <v>1.6241338582677165</v>
      </c>
      <c r="S142" s="50">
        <f aca="true" t="shared" si="138" ref="S142:S157">940*P142*Q142/100*C142/100*3.14159*(N142*N142-O142*O142)/4*2.54*2.54</f>
        <v>331660438.59263486</v>
      </c>
      <c r="T142" s="39">
        <v>21.5</v>
      </c>
      <c r="U142" s="54">
        <f aca="true" t="shared" si="139" ref="U142:U157">(S142*(EXP(-0.4*LN(10)*T142))*R142*R142)/I142</f>
        <v>1.098771321020616</v>
      </c>
      <c r="V142" s="54">
        <f aca="true" t="shared" si="140" ref="V142:V157">(S142*(EXP(-0.4*LN(10)*T142))*R142*R142+(J142*J142*H142))/I142</f>
        <v>15.25315443766586</v>
      </c>
      <c r="W142" s="54">
        <f aca="true" t="shared" si="141" ref="W142:W157">U142/V142</f>
        <v>0.07203567796490215</v>
      </c>
      <c r="X142" s="55">
        <f aca="true" t="shared" si="142" ref="X142:X157">SQRT(V142*K142*I142)</f>
        <v>135.29148282578262</v>
      </c>
      <c r="Y142" s="42">
        <v>19</v>
      </c>
      <c r="Z142" s="43">
        <v>1</v>
      </c>
      <c r="AA142" s="43">
        <v>3</v>
      </c>
      <c r="AB142" s="158">
        <f t="shared" si="87"/>
        <v>0.9235691949676388</v>
      </c>
      <c r="AC142" s="59">
        <f t="shared" si="86"/>
        <v>7.0685775</v>
      </c>
      <c r="AD142" s="59">
        <f aca="true" t="shared" si="143" ref="AD142:AD157">AC142/(R142*R142)</f>
        <v>2.679713620076611</v>
      </c>
      <c r="AE142" s="60">
        <f aca="true" t="shared" si="144" ref="AE142:AE157">S142*EXP(-0.4*LN(10)*Y142)/I142</f>
        <v>4.16546677784677</v>
      </c>
      <c r="AF142" s="61">
        <f aca="true" t="shared" si="145" ref="AF142:AF157">SQRT((AE142*K142*I142)/(1+(MAX(1,AD142))*(V142*I142*K142+(I142*I142-1)/12+D142*D142)/(AE142*K142*I142)))</f>
        <v>21.381865461404406</v>
      </c>
      <c r="AG142" s="62">
        <f aca="true" t="shared" si="146" ref="AG142:AG157">1.0857/AF142</f>
        <v>0.05077667343664453</v>
      </c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</row>
    <row r="143" spans="1:65" s="22" customFormat="1" ht="12.75">
      <c r="A143" s="38" t="s">
        <v>71</v>
      </c>
      <c r="B143" s="39">
        <v>24</v>
      </c>
      <c r="C143" s="39">
        <v>85</v>
      </c>
      <c r="D143" s="39">
        <v>15</v>
      </c>
      <c r="E143" s="39">
        <v>80</v>
      </c>
      <c r="F143" s="39">
        <v>7.5</v>
      </c>
      <c r="G143" s="39">
        <v>-25</v>
      </c>
      <c r="H143" s="49">
        <f t="shared" si="136"/>
        <v>28.308766233290488</v>
      </c>
      <c r="I143" s="40">
        <v>2</v>
      </c>
      <c r="J143" s="41">
        <v>1</v>
      </c>
      <c r="K143" s="22">
        <v>600</v>
      </c>
      <c r="L143" s="46">
        <f t="shared" si="135"/>
        <v>131.18883237522274</v>
      </c>
      <c r="M143" s="39">
        <v>120</v>
      </c>
      <c r="N143" s="22">
        <v>12</v>
      </c>
      <c r="O143" s="22">
        <v>4</v>
      </c>
      <c r="P143" s="22">
        <v>800</v>
      </c>
      <c r="Q143" s="22">
        <v>80</v>
      </c>
      <c r="R143" s="49">
        <f t="shared" si="137"/>
        <v>1.6241338582677165</v>
      </c>
      <c r="S143" s="50">
        <f t="shared" si="138"/>
        <v>331660438.59263486</v>
      </c>
      <c r="T143" s="39">
        <v>21.5</v>
      </c>
      <c r="U143" s="54">
        <f t="shared" si="139"/>
        <v>1.098771321020616</v>
      </c>
      <c r="V143" s="54">
        <f t="shared" si="140"/>
        <v>15.25315443766586</v>
      </c>
      <c r="W143" s="54">
        <f t="shared" si="141"/>
        <v>0.07203567796490215</v>
      </c>
      <c r="X143" s="55">
        <f t="shared" si="142"/>
        <v>135.29148282578262</v>
      </c>
      <c r="Y143" s="42">
        <v>20</v>
      </c>
      <c r="Z143" s="43">
        <v>1</v>
      </c>
      <c r="AA143" s="43">
        <v>3</v>
      </c>
      <c r="AB143" s="158">
        <f t="shared" si="87"/>
        <v>0.9235691949676388</v>
      </c>
      <c r="AC143" s="59">
        <f t="shared" si="86"/>
        <v>7.0685775</v>
      </c>
      <c r="AD143" s="59">
        <f t="shared" si="143"/>
        <v>2.679713620076611</v>
      </c>
      <c r="AE143" s="60">
        <f t="shared" si="144"/>
        <v>1.6583021929631714</v>
      </c>
      <c r="AF143" s="61">
        <f t="shared" si="145"/>
        <v>8.756719010971075</v>
      </c>
      <c r="AG143" s="62">
        <f t="shared" si="146"/>
        <v>0.12398479369267801</v>
      </c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</row>
    <row r="144" spans="1:65" s="22" customFormat="1" ht="12.75">
      <c r="A144" s="38" t="s">
        <v>71</v>
      </c>
      <c r="B144" s="39">
        <v>24</v>
      </c>
      <c r="C144" s="39">
        <v>85</v>
      </c>
      <c r="D144" s="39">
        <v>15</v>
      </c>
      <c r="E144" s="39">
        <v>80</v>
      </c>
      <c r="F144" s="39">
        <v>7.5</v>
      </c>
      <c r="G144" s="39">
        <v>-25</v>
      </c>
      <c r="H144" s="49">
        <f t="shared" si="136"/>
        <v>28.308766233290488</v>
      </c>
      <c r="I144" s="40">
        <v>2</v>
      </c>
      <c r="J144" s="41">
        <v>1</v>
      </c>
      <c r="K144" s="22">
        <v>600</v>
      </c>
      <c r="L144" s="46">
        <f t="shared" si="135"/>
        <v>131.18883237522274</v>
      </c>
      <c r="M144" s="39">
        <v>120</v>
      </c>
      <c r="N144" s="22">
        <v>12</v>
      </c>
      <c r="O144" s="22">
        <v>4</v>
      </c>
      <c r="P144" s="22">
        <v>800</v>
      </c>
      <c r="Q144" s="22">
        <v>80</v>
      </c>
      <c r="R144" s="49">
        <f t="shared" si="137"/>
        <v>1.6241338582677165</v>
      </c>
      <c r="S144" s="50">
        <f t="shared" si="138"/>
        <v>331660438.59263486</v>
      </c>
      <c r="T144" s="39">
        <v>21.5</v>
      </c>
      <c r="U144" s="54">
        <f t="shared" si="139"/>
        <v>1.098771321020616</v>
      </c>
      <c r="V144" s="54">
        <f t="shared" si="140"/>
        <v>15.25315443766586</v>
      </c>
      <c r="W144" s="54">
        <f t="shared" si="141"/>
        <v>0.07203567796490215</v>
      </c>
      <c r="X144" s="55">
        <f t="shared" si="142"/>
        <v>135.29148282578262</v>
      </c>
      <c r="Y144" s="42">
        <v>21</v>
      </c>
      <c r="Z144" s="43">
        <v>1</v>
      </c>
      <c r="AA144" s="43">
        <v>3</v>
      </c>
      <c r="AB144" s="158">
        <f t="shared" si="87"/>
        <v>0.9235691949676388</v>
      </c>
      <c r="AC144" s="59">
        <f aca="true" t="shared" si="147" ref="AC144:AC190">3.14159*(Z144*Z144/4)*(AA144*AA144)</f>
        <v>7.0685775</v>
      </c>
      <c r="AD144" s="59">
        <f t="shared" si="143"/>
        <v>2.679713620076611</v>
      </c>
      <c r="AE144" s="60">
        <f t="shared" si="144"/>
        <v>0.6601819939632256</v>
      </c>
      <c r="AF144" s="61">
        <f t="shared" si="145"/>
        <v>3.527256433688262</v>
      </c>
      <c r="AG144" s="62">
        <f t="shared" si="146"/>
        <v>0.30780296823067727</v>
      </c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</row>
    <row r="145" spans="1:65" s="22" customFormat="1" ht="12.75">
      <c r="A145" s="38" t="s">
        <v>71</v>
      </c>
      <c r="B145" s="39">
        <v>24</v>
      </c>
      <c r="C145" s="39">
        <v>85</v>
      </c>
      <c r="D145" s="39">
        <v>15</v>
      </c>
      <c r="E145" s="39">
        <v>80</v>
      </c>
      <c r="F145" s="39">
        <v>7.5</v>
      </c>
      <c r="G145" s="39">
        <v>-25</v>
      </c>
      <c r="H145" s="49">
        <f t="shared" si="136"/>
        <v>28.308766233290488</v>
      </c>
      <c r="I145" s="40">
        <v>2</v>
      </c>
      <c r="J145" s="41">
        <v>1</v>
      </c>
      <c r="K145" s="22">
        <v>600</v>
      </c>
      <c r="L145" s="46">
        <f t="shared" si="135"/>
        <v>131.18883237522274</v>
      </c>
      <c r="M145" s="39">
        <v>120</v>
      </c>
      <c r="N145" s="22">
        <v>12</v>
      </c>
      <c r="O145" s="22">
        <v>4</v>
      </c>
      <c r="P145" s="22">
        <v>800</v>
      </c>
      <c r="Q145" s="22">
        <v>80</v>
      </c>
      <c r="R145" s="49">
        <f t="shared" si="137"/>
        <v>1.6241338582677165</v>
      </c>
      <c r="S145" s="50">
        <f t="shared" si="138"/>
        <v>331660438.59263486</v>
      </c>
      <c r="T145" s="39">
        <v>21.5</v>
      </c>
      <c r="U145" s="54">
        <f t="shared" si="139"/>
        <v>1.098771321020616</v>
      </c>
      <c r="V145" s="54">
        <f t="shared" si="140"/>
        <v>15.25315443766586</v>
      </c>
      <c r="W145" s="54">
        <f t="shared" si="141"/>
        <v>0.07203567796490215</v>
      </c>
      <c r="X145" s="55">
        <f t="shared" si="142"/>
        <v>135.29148282578262</v>
      </c>
      <c r="Y145" s="42">
        <v>22</v>
      </c>
      <c r="Z145" s="43">
        <v>1</v>
      </c>
      <c r="AA145" s="43">
        <v>3</v>
      </c>
      <c r="AB145" s="158">
        <f aca="true" t="shared" si="148" ref="AB145:AB190">AA145*Z145/R145/2</f>
        <v>0.9235691949676388</v>
      </c>
      <c r="AC145" s="59">
        <f t="shared" si="147"/>
        <v>7.0685775</v>
      </c>
      <c r="AD145" s="59">
        <f t="shared" si="143"/>
        <v>2.679713620076611</v>
      </c>
      <c r="AE145" s="60">
        <f t="shared" si="144"/>
        <v>0.2628231856670658</v>
      </c>
      <c r="AF145" s="61">
        <f t="shared" si="145"/>
        <v>1.4109102513486689</v>
      </c>
      <c r="AG145" s="62">
        <f t="shared" si="146"/>
        <v>0.7695032330810518</v>
      </c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</row>
    <row r="146" spans="1:65" s="22" customFormat="1" ht="12.75">
      <c r="A146" s="38" t="s">
        <v>71</v>
      </c>
      <c r="B146" s="39">
        <v>24</v>
      </c>
      <c r="C146" s="39">
        <v>85</v>
      </c>
      <c r="D146" s="39">
        <v>15</v>
      </c>
      <c r="E146" s="39">
        <v>80</v>
      </c>
      <c r="F146" s="39">
        <v>7.5</v>
      </c>
      <c r="G146" s="39">
        <v>-25</v>
      </c>
      <c r="H146" s="49">
        <f t="shared" si="136"/>
        <v>28.308766233290488</v>
      </c>
      <c r="I146" s="40">
        <v>2</v>
      </c>
      <c r="J146" s="41">
        <v>1</v>
      </c>
      <c r="K146" s="22">
        <v>600</v>
      </c>
      <c r="L146" s="46">
        <f aca="true" t="shared" si="149" ref="L146:L161">SQRT(K146*H146*J146*J146+D146*D146+(I146*I146-1)/12)</f>
        <v>131.18883237522274</v>
      </c>
      <c r="M146" s="39">
        <v>120</v>
      </c>
      <c r="N146" s="22">
        <v>12</v>
      </c>
      <c r="O146" s="22">
        <v>4</v>
      </c>
      <c r="P146" s="22">
        <v>800</v>
      </c>
      <c r="Q146" s="22">
        <v>80</v>
      </c>
      <c r="R146" s="49">
        <f t="shared" si="137"/>
        <v>1.6241338582677165</v>
      </c>
      <c r="S146" s="50">
        <f t="shared" si="138"/>
        <v>331660438.59263486</v>
      </c>
      <c r="T146" s="39">
        <v>21.5</v>
      </c>
      <c r="U146" s="54">
        <f t="shared" si="139"/>
        <v>1.098771321020616</v>
      </c>
      <c r="V146" s="54">
        <f t="shared" si="140"/>
        <v>15.25315443766586</v>
      </c>
      <c r="W146" s="54">
        <f t="shared" si="141"/>
        <v>0.07203567796490215</v>
      </c>
      <c r="X146" s="55">
        <f t="shared" si="142"/>
        <v>135.29148282578262</v>
      </c>
      <c r="Y146" s="42">
        <v>14</v>
      </c>
      <c r="Z146" s="43">
        <v>2</v>
      </c>
      <c r="AA146" s="43">
        <v>3</v>
      </c>
      <c r="AB146" s="158">
        <f t="shared" si="148"/>
        <v>1.8471383899352776</v>
      </c>
      <c r="AC146" s="59">
        <f t="shared" si="147"/>
        <v>28.27431</v>
      </c>
      <c r="AD146" s="59">
        <f t="shared" si="143"/>
        <v>10.718854480306444</v>
      </c>
      <c r="AE146" s="60">
        <f t="shared" si="144"/>
        <v>416.5466777846765</v>
      </c>
      <c r="AF146" s="61">
        <f t="shared" si="145"/>
        <v>598.0978915742551</v>
      </c>
      <c r="AG146" s="62">
        <f t="shared" si="146"/>
        <v>0.001815254685386578</v>
      </c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</row>
    <row r="147" spans="1:65" s="22" customFormat="1" ht="12.75">
      <c r="A147" s="38" t="s">
        <v>71</v>
      </c>
      <c r="B147" s="39">
        <v>24</v>
      </c>
      <c r="C147" s="39">
        <v>85</v>
      </c>
      <c r="D147" s="39">
        <v>15</v>
      </c>
      <c r="E147" s="39">
        <v>80</v>
      </c>
      <c r="F147" s="39">
        <v>7.5</v>
      </c>
      <c r="G147" s="39">
        <v>-25</v>
      </c>
      <c r="H147" s="49">
        <f t="shared" si="136"/>
        <v>28.308766233290488</v>
      </c>
      <c r="I147" s="40">
        <v>2</v>
      </c>
      <c r="J147" s="41">
        <v>1</v>
      </c>
      <c r="K147" s="22">
        <v>600</v>
      </c>
      <c r="L147" s="46">
        <f t="shared" si="149"/>
        <v>131.18883237522274</v>
      </c>
      <c r="M147" s="39">
        <v>120</v>
      </c>
      <c r="N147" s="22">
        <v>12</v>
      </c>
      <c r="O147" s="22">
        <v>4</v>
      </c>
      <c r="P147" s="22">
        <v>800</v>
      </c>
      <c r="Q147" s="22">
        <v>80</v>
      </c>
      <c r="R147" s="49">
        <f t="shared" si="137"/>
        <v>1.6241338582677165</v>
      </c>
      <c r="S147" s="50">
        <f t="shared" si="138"/>
        <v>331660438.59263486</v>
      </c>
      <c r="T147" s="39">
        <v>21.5</v>
      </c>
      <c r="U147" s="54">
        <f t="shared" si="139"/>
        <v>1.098771321020616</v>
      </c>
      <c r="V147" s="54">
        <f t="shared" si="140"/>
        <v>15.25315443766586</v>
      </c>
      <c r="W147" s="54">
        <f t="shared" si="141"/>
        <v>0.07203567796490215</v>
      </c>
      <c r="X147" s="55">
        <f t="shared" si="142"/>
        <v>135.29148282578262</v>
      </c>
      <c r="Y147" s="42">
        <v>15</v>
      </c>
      <c r="Z147" s="43">
        <v>2</v>
      </c>
      <c r="AA147" s="43">
        <v>3</v>
      </c>
      <c r="AB147" s="158">
        <f t="shared" si="148"/>
        <v>1.8471383899352776</v>
      </c>
      <c r="AC147" s="59">
        <f t="shared" si="147"/>
        <v>28.27431</v>
      </c>
      <c r="AD147" s="59">
        <f t="shared" si="143"/>
        <v>10.718854480306444</v>
      </c>
      <c r="AE147" s="60">
        <f t="shared" si="144"/>
        <v>165.83021929631693</v>
      </c>
      <c r="AF147" s="61">
        <f t="shared" si="145"/>
        <v>315.5864110407696</v>
      </c>
      <c r="AG147" s="62">
        <f t="shared" si="146"/>
        <v>0.003440262197663961</v>
      </c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</row>
    <row r="148" spans="1:65" s="22" customFormat="1" ht="12.75">
      <c r="A148" s="38" t="s">
        <v>71</v>
      </c>
      <c r="B148" s="39">
        <v>24</v>
      </c>
      <c r="C148" s="39">
        <v>85</v>
      </c>
      <c r="D148" s="39">
        <v>15</v>
      </c>
      <c r="E148" s="39">
        <v>80</v>
      </c>
      <c r="F148" s="39">
        <v>7.5</v>
      </c>
      <c r="G148" s="39">
        <v>-25</v>
      </c>
      <c r="H148" s="49">
        <f t="shared" si="136"/>
        <v>28.308766233290488</v>
      </c>
      <c r="I148" s="40">
        <v>2</v>
      </c>
      <c r="J148" s="41">
        <v>1</v>
      </c>
      <c r="K148" s="22">
        <v>600</v>
      </c>
      <c r="L148" s="46">
        <f t="shared" si="149"/>
        <v>131.18883237522274</v>
      </c>
      <c r="M148" s="39">
        <v>120</v>
      </c>
      <c r="N148" s="22">
        <v>12</v>
      </c>
      <c r="O148" s="22">
        <v>4</v>
      </c>
      <c r="P148" s="22">
        <v>800</v>
      </c>
      <c r="Q148" s="22">
        <v>80</v>
      </c>
      <c r="R148" s="49">
        <f t="shared" si="137"/>
        <v>1.6241338582677165</v>
      </c>
      <c r="S148" s="50">
        <f t="shared" si="138"/>
        <v>331660438.59263486</v>
      </c>
      <c r="T148" s="39">
        <v>21.5</v>
      </c>
      <c r="U148" s="54">
        <f t="shared" si="139"/>
        <v>1.098771321020616</v>
      </c>
      <c r="V148" s="54">
        <f t="shared" si="140"/>
        <v>15.25315443766586</v>
      </c>
      <c r="W148" s="54">
        <f t="shared" si="141"/>
        <v>0.07203567796490215</v>
      </c>
      <c r="X148" s="55">
        <f t="shared" si="142"/>
        <v>135.29148282578262</v>
      </c>
      <c r="Y148" s="42">
        <v>16</v>
      </c>
      <c r="Z148" s="43">
        <v>2</v>
      </c>
      <c r="AA148" s="43">
        <v>3</v>
      </c>
      <c r="AB148" s="158">
        <f t="shared" si="148"/>
        <v>1.8471383899352776</v>
      </c>
      <c r="AC148" s="59">
        <f t="shared" si="147"/>
        <v>28.27431</v>
      </c>
      <c r="AD148" s="59">
        <f t="shared" si="143"/>
        <v>10.718854480306444</v>
      </c>
      <c r="AE148" s="60">
        <f t="shared" si="144"/>
        <v>66.0181993963227</v>
      </c>
      <c r="AF148" s="61">
        <f t="shared" si="145"/>
        <v>150.29823759756545</v>
      </c>
      <c r="AG148" s="62">
        <f t="shared" si="146"/>
        <v>0.007223637597847564</v>
      </c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</row>
    <row r="149" spans="1:65" s="22" customFormat="1" ht="12.75">
      <c r="A149" s="38" t="s">
        <v>71</v>
      </c>
      <c r="B149" s="39">
        <v>24</v>
      </c>
      <c r="C149" s="39">
        <v>85</v>
      </c>
      <c r="D149" s="39">
        <v>15</v>
      </c>
      <c r="E149" s="39">
        <v>80</v>
      </c>
      <c r="F149" s="39">
        <v>7.5</v>
      </c>
      <c r="G149" s="39">
        <v>-25</v>
      </c>
      <c r="H149" s="49">
        <f t="shared" si="136"/>
        <v>28.308766233290488</v>
      </c>
      <c r="I149" s="40">
        <v>2</v>
      </c>
      <c r="J149" s="41">
        <v>1</v>
      </c>
      <c r="K149" s="22">
        <v>600</v>
      </c>
      <c r="L149" s="46">
        <f t="shared" si="149"/>
        <v>131.18883237522274</v>
      </c>
      <c r="M149" s="39">
        <v>120</v>
      </c>
      <c r="N149" s="22">
        <v>12</v>
      </c>
      <c r="O149" s="22">
        <v>4</v>
      </c>
      <c r="P149" s="22">
        <v>800</v>
      </c>
      <c r="Q149" s="22">
        <v>80</v>
      </c>
      <c r="R149" s="49">
        <f t="shared" si="137"/>
        <v>1.6241338582677165</v>
      </c>
      <c r="S149" s="50">
        <f t="shared" si="138"/>
        <v>331660438.59263486</v>
      </c>
      <c r="T149" s="39">
        <v>21.5</v>
      </c>
      <c r="U149" s="54">
        <f t="shared" si="139"/>
        <v>1.098771321020616</v>
      </c>
      <c r="V149" s="54">
        <f t="shared" si="140"/>
        <v>15.25315443766586</v>
      </c>
      <c r="W149" s="54">
        <f t="shared" si="141"/>
        <v>0.07203567796490215</v>
      </c>
      <c r="X149" s="55">
        <f t="shared" si="142"/>
        <v>135.29148282578262</v>
      </c>
      <c r="Y149" s="42">
        <v>17</v>
      </c>
      <c r="Z149" s="43">
        <v>2</v>
      </c>
      <c r="AA149" s="43">
        <v>3</v>
      </c>
      <c r="AB149" s="158">
        <f t="shared" si="148"/>
        <v>1.8471383899352776</v>
      </c>
      <c r="AC149" s="59">
        <f t="shared" si="147"/>
        <v>28.27431</v>
      </c>
      <c r="AD149" s="59">
        <f t="shared" si="143"/>
        <v>10.718854480306444</v>
      </c>
      <c r="AE149" s="60">
        <f t="shared" si="144"/>
        <v>26.282318566706643</v>
      </c>
      <c r="AF149" s="61">
        <f t="shared" si="145"/>
        <v>65.74164229075721</v>
      </c>
      <c r="AG149" s="62">
        <f t="shared" si="146"/>
        <v>0.0165146467622188</v>
      </c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</row>
    <row r="150" spans="1:65" s="22" customFormat="1" ht="12.75">
      <c r="A150" s="38" t="s">
        <v>71</v>
      </c>
      <c r="B150" s="39">
        <v>24</v>
      </c>
      <c r="C150" s="39">
        <v>85</v>
      </c>
      <c r="D150" s="39">
        <v>15</v>
      </c>
      <c r="E150" s="39">
        <v>80</v>
      </c>
      <c r="F150" s="39">
        <v>7.5</v>
      </c>
      <c r="G150" s="39">
        <v>-25</v>
      </c>
      <c r="H150" s="49">
        <f t="shared" si="136"/>
        <v>28.308766233290488</v>
      </c>
      <c r="I150" s="40">
        <v>2</v>
      </c>
      <c r="J150" s="41">
        <v>1</v>
      </c>
      <c r="K150" s="22">
        <v>600</v>
      </c>
      <c r="L150" s="46">
        <f t="shared" si="149"/>
        <v>131.18883237522274</v>
      </c>
      <c r="M150" s="39">
        <v>120</v>
      </c>
      <c r="N150" s="22">
        <v>12</v>
      </c>
      <c r="O150" s="22">
        <v>4</v>
      </c>
      <c r="P150" s="22">
        <v>800</v>
      </c>
      <c r="Q150" s="22">
        <v>80</v>
      </c>
      <c r="R150" s="49">
        <f t="shared" si="137"/>
        <v>1.6241338582677165</v>
      </c>
      <c r="S150" s="50">
        <f t="shared" si="138"/>
        <v>331660438.59263486</v>
      </c>
      <c r="T150" s="39">
        <v>21.5</v>
      </c>
      <c r="U150" s="54">
        <f t="shared" si="139"/>
        <v>1.098771321020616</v>
      </c>
      <c r="V150" s="54">
        <f t="shared" si="140"/>
        <v>15.25315443766586</v>
      </c>
      <c r="W150" s="54">
        <f t="shared" si="141"/>
        <v>0.07203567796490215</v>
      </c>
      <c r="X150" s="55">
        <f t="shared" si="142"/>
        <v>135.29148282578262</v>
      </c>
      <c r="Y150" s="42">
        <v>18</v>
      </c>
      <c r="Z150" s="43">
        <v>2</v>
      </c>
      <c r="AA150" s="43">
        <v>3</v>
      </c>
      <c r="AB150" s="158">
        <f t="shared" si="148"/>
        <v>1.8471383899352776</v>
      </c>
      <c r="AC150" s="59">
        <f t="shared" si="147"/>
        <v>28.27431</v>
      </c>
      <c r="AD150" s="59">
        <f t="shared" si="143"/>
        <v>10.718854480306444</v>
      </c>
      <c r="AE150" s="60">
        <f t="shared" si="144"/>
        <v>10.46317948017723</v>
      </c>
      <c r="AF150" s="61">
        <f t="shared" si="145"/>
        <v>27.323295561680613</v>
      </c>
      <c r="AG150" s="62">
        <f t="shared" si="146"/>
        <v>0.03973532393078649</v>
      </c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</row>
    <row r="151" spans="1:65" s="22" customFormat="1" ht="12.75">
      <c r="A151" s="38" t="s">
        <v>71</v>
      </c>
      <c r="B151" s="39">
        <v>24</v>
      </c>
      <c r="C151" s="39">
        <v>85</v>
      </c>
      <c r="D151" s="39">
        <v>15</v>
      </c>
      <c r="E151" s="39">
        <v>80</v>
      </c>
      <c r="F151" s="39">
        <v>7.5</v>
      </c>
      <c r="G151" s="39">
        <v>-25</v>
      </c>
      <c r="H151" s="49">
        <f t="shared" si="136"/>
        <v>28.308766233290488</v>
      </c>
      <c r="I151" s="40">
        <v>2</v>
      </c>
      <c r="J151" s="41">
        <v>1</v>
      </c>
      <c r="K151" s="22">
        <v>600</v>
      </c>
      <c r="L151" s="46">
        <f t="shared" si="149"/>
        <v>131.18883237522274</v>
      </c>
      <c r="M151" s="39">
        <v>120</v>
      </c>
      <c r="N151" s="22">
        <v>12</v>
      </c>
      <c r="O151" s="22">
        <v>4</v>
      </c>
      <c r="P151" s="22">
        <v>800</v>
      </c>
      <c r="Q151" s="22">
        <v>80</v>
      </c>
      <c r="R151" s="49">
        <f t="shared" si="137"/>
        <v>1.6241338582677165</v>
      </c>
      <c r="S151" s="50">
        <f t="shared" si="138"/>
        <v>331660438.59263486</v>
      </c>
      <c r="T151" s="39">
        <v>21.5</v>
      </c>
      <c r="U151" s="54">
        <f t="shared" si="139"/>
        <v>1.098771321020616</v>
      </c>
      <c r="V151" s="54">
        <f t="shared" si="140"/>
        <v>15.25315443766586</v>
      </c>
      <c r="W151" s="54">
        <f t="shared" si="141"/>
        <v>0.07203567796490215</v>
      </c>
      <c r="X151" s="55">
        <f t="shared" si="142"/>
        <v>135.29148282578262</v>
      </c>
      <c r="Y151" s="42">
        <v>19</v>
      </c>
      <c r="Z151" s="43">
        <v>2</v>
      </c>
      <c r="AA151" s="43">
        <v>3</v>
      </c>
      <c r="AB151" s="158">
        <f t="shared" si="148"/>
        <v>1.8471383899352776</v>
      </c>
      <c r="AC151" s="59">
        <f t="shared" si="147"/>
        <v>28.27431</v>
      </c>
      <c r="AD151" s="59">
        <f t="shared" si="143"/>
        <v>10.718854480306444</v>
      </c>
      <c r="AE151" s="60">
        <f t="shared" si="144"/>
        <v>4.16546677784677</v>
      </c>
      <c r="AF151" s="61">
        <f t="shared" si="145"/>
        <v>11.077630354223242</v>
      </c>
      <c r="AG151" s="62">
        <f t="shared" si="146"/>
        <v>0.09800832536229982</v>
      </c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</row>
    <row r="152" spans="1:65" s="22" customFormat="1" ht="12.75">
      <c r="A152" s="38" t="s">
        <v>71</v>
      </c>
      <c r="B152" s="39">
        <v>24</v>
      </c>
      <c r="C152" s="39">
        <v>85</v>
      </c>
      <c r="D152" s="39">
        <v>15</v>
      </c>
      <c r="E152" s="39">
        <v>80</v>
      </c>
      <c r="F152" s="39">
        <v>7.5</v>
      </c>
      <c r="G152" s="39">
        <v>-25</v>
      </c>
      <c r="H152" s="49">
        <f t="shared" si="136"/>
        <v>28.308766233290488</v>
      </c>
      <c r="I152" s="40">
        <v>2</v>
      </c>
      <c r="J152" s="41">
        <v>1</v>
      </c>
      <c r="K152" s="22">
        <v>600</v>
      </c>
      <c r="L152" s="46">
        <f t="shared" si="149"/>
        <v>131.18883237522274</v>
      </c>
      <c r="M152" s="39">
        <v>120</v>
      </c>
      <c r="N152" s="22">
        <v>12</v>
      </c>
      <c r="O152" s="22">
        <v>4</v>
      </c>
      <c r="P152" s="22">
        <v>800</v>
      </c>
      <c r="Q152" s="22">
        <v>80</v>
      </c>
      <c r="R152" s="49">
        <f t="shared" si="137"/>
        <v>1.6241338582677165</v>
      </c>
      <c r="S152" s="50">
        <f t="shared" si="138"/>
        <v>331660438.59263486</v>
      </c>
      <c r="T152" s="39">
        <v>21.5</v>
      </c>
      <c r="U152" s="54">
        <f t="shared" si="139"/>
        <v>1.098771321020616</v>
      </c>
      <c r="V152" s="54">
        <f t="shared" si="140"/>
        <v>15.25315443766586</v>
      </c>
      <c r="W152" s="54">
        <f t="shared" si="141"/>
        <v>0.07203567796490215</v>
      </c>
      <c r="X152" s="55">
        <f t="shared" si="142"/>
        <v>135.29148282578262</v>
      </c>
      <c r="Y152" s="42">
        <v>20</v>
      </c>
      <c r="Z152" s="43">
        <v>2</v>
      </c>
      <c r="AA152" s="43">
        <v>3</v>
      </c>
      <c r="AB152" s="158">
        <f t="shared" si="148"/>
        <v>1.8471383899352776</v>
      </c>
      <c r="AC152" s="59">
        <f t="shared" si="147"/>
        <v>28.27431</v>
      </c>
      <c r="AD152" s="59">
        <f t="shared" si="143"/>
        <v>10.718854480306444</v>
      </c>
      <c r="AE152" s="60">
        <f t="shared" si="144"/>
        <v>1.6583021929631714</v>
      </c>
      <c r="AF152" s="61">
        <f t="shared" si="145"/>
        <v>4.443032204462086</v>
      </c>
      <c r="AG152" s="62">
        <f t="shared" si="146"/>
        <v>0.2443601464129934</v>
      </c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</row>
    <row r="153" spans="1:65" s="22" customFormat="1" ht="12.75">
      <c r="A153" s="38" t="s">
        <v>71</v>
      </c>
      <c r="B153" s="39">
        <v>24</v>
      </c>
      <c r="C153" s="39">
        <v>85</v>
      </c>
      <c r="D153" s="39">
        <v>15</v>
      </c>
      <c r="E153" s="39">
        <v>80</v>
      </c>
      <c r="F153" s="39">
        <v>7.5</v>
      </c>
      <c r="G153" s="39">
        <v>-25</v>
      </c>
      <c r="H153" s="49">
        <f t="shared" si="136"/>
        <v>28.308766233290488</v>
      </c>
      <c r="I153" s="40">
        <v>2</v>
      </c>
      <c r="J153" s="41">
        <v>1</v>
      </c>
      <c r="K153" s="22">
        <v>600</v>
      </c>
      <c r="L153" s="46">
        <f t="shared" si="149"/>
        <v>131.18883237522274</v>
      </c>
      <c r="M153" s="39">
        <v>120</v>
      </c>
      <c r="N153" s="22">
        <v>12</v>
      </c>
      <c r="O153" s="22">
        <v>4</v>
      </c>
      <c r="P153" s="22">
        <v>800</v>
      </c>
      <c r="Q153" s="22">
        <v>80</v>
      </c>
      <c r="R153" s="49">
        <f t="shared" si="137"/>
        <v>1.6241338582677165</v>
      </c>
      <c r="S153" s="50">
        <f t="shared" si="138"/>
        <v>331660438.59263486</v>
      </c>
      <c r="T153" s="39">
        <v>21.5</v>
      </c>
      <c r="U153" s="54">
        <f t="shared" si="139"/>
        <v>1.098771321020616</v>
      </c>
      <c r="V153" s="54">
        <f t="shared" si="140"/>
        <v>15.25315443766586</v>
      </c>
      <c r="W153" s="54">
        <f t="shared" si="141"/>
        <v>0.07203567796490215</v>
      </c>
      <c r="X153" s="55">
        <f t="shared" si="142"/>
        <v>135.29148282578262</v>
      </c>
      <c r="Y153" s="42">
        <v>21</v>
      </c>
      <c r="Z153" s="43">
        <v>2</v>
      </c>
      <c r="AA153" s="43">
        <v>3</v>
      </c>
      <c r="AB153" s="158">
        <f t="shared" si="148"/>
        <v>1.8471383899352776</v>
      </c>
      <c r="AC153" s="59">
        <f t="shared" si="147"/>
        <v>28.27431</v>
      </c>
      <c r="AD153" s="59">
        <f t="shared" si="143"/>
        <v>10.718854480306444</v>
      </c>
      <c r="AE153" s="60">
        <f t="shared" si="144"/>
        <v>0.6601819939632256</v>
      </c>
      <c r="AF153" s="61">
        <f t="shared" si="145"/>
        <v>1.774107337206262</v>
      </c>
      <c r="AG153" s="62">
        <f t="shared" si="146"/>
        <v>0.6119697366844123</v>
      </c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</row>
    <row r="154" spans="1:65" s="22" customFormat="1" ht="12.75">
      <c r="A154" s="38" t="s">
        <v>71</v>
      </c>
      <c r="B154" s="39">
        <v>24</v>
      </c>
      <c r="C154" s="39">
        <v>85</v>
      </c>
      <c r="D154" s="39">
        <v>15</v>
      </c>
      <c r="E154" s="39">
        <v>80</v>
      </c>
      <c r="F154" s="39">
        <v>7.5</v>
      </c>
      <c r="G154" s="39">
        <v>-25</v>
      </c>
      <c r="H154" s="49">
        <f t="shared" si="136"/>
        <v>28.308766233290488</v>
      </c>
      <c r="I154" s="40">
        <v>2</v>
      </c>
      <c r="J154" s="41">
        <v>1</v>
      </c>
      <c r="K154" s="22">
        <v>600</v>
      </c>
      <c r="L154" s="46">
        <f t="shared" si="149"/>
        <v>131.18883237522274</v>
      </c>
      <c r="M154" s="39">
        <v>120</v>
      </c>
      <c r="N154" s="22">
        <v>12</v>
      </c>
      <c r="O154" s="22">
        <v>4</v>
      </c>
      <c r="P154" s="22">
        <v>800</v>
      </c>
      <c r="Q154" s="22">
        <v>80</v>
      </c>
      <c r="R154" s="49">
        <f t="shared" si="137"/>
        <v>1.6241338582677165</v>
      </c>
      <c r="S154" s="50">
        <f t="shared" si="138"/>
        <v>331660438.59263486</v>
      </c>
      <c r="T154" s="39">
        <v>21.5</v>
      </c>
      <c r="U154" s="54">
        <f t="shared" si="139"/>
        <v>1.098771321020616</v>
      </c>
      <c r="V154" s="54">
        <f t="shared" si="140"/>
        <v>15.25315443766586</v>
      </c>
      <c r="W154" s="54">
        <f t="shared" si="141"/>
        <v>0.07203567796490215</v>
      </c>
      <c r="X154" s="55">
        <f t="shared" si="142"/>
        <v>135.29148282578262</v>
      </c>
      <c r="Y154" s="42">
        <v>22</v>
      </c>
      <c r="Z154" s="43">
        <v>2</v>
      </c>
      <c r="AA154" s="43">
        <v>3</v>
      </c>
      <c r="AB154" s="158">
        <f t="shared" si="148"/>
        <v>1.8471383899352776</v>
      </c>
      <c r="AC154" s="59">
        <f t="shared" si="147"/>
        <v>28.27431</v>
      </c>
      <c r="AD154" s="59">
        <f t="shared" si="143"/>
        <v>10.718854480306444</v>
      </c>
      <c r="AE154" s="60">
        <f t="shared" si="144"/>
        <v>0.2628231856670658</v>
      </c>
      <c r="AF154" s="61">
        <f t="shared" si="145"/>
        <v>0.7071308392549316</v>
      </c>
      <c r="AG154" s="62">
        <f t="shared" si="146"/>
        <v>1.5353594267560837</v>
      </c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</row>
    <row r="155" spans="1:65" s="22" customFormat="1" ht="12.75">
      <c r="A155" s="38" t="s">
        <v>71</v>
      </c>
      <c r="B155" s="39">
        <v>24</v>
      </c>
      <c r="C155" s="39">
        <v>85</v>
      </c>
      <c r="D155" s="39">
        <v>15</v>
      </c>
      <c r="E155" s="39">
        <v>80</v>
      </c>
      <c r="F155" s="39">
        <v>7.5</v>
      </c>
      <c r="G155" s="39">
        <v>-25</v>
      </c>
      <c r="H155" s="49">
        <f t="shared" si="136"/>
        <v>28.308766233290488</v>
      </c>
      <c r="I155" s="40">
        <v>2</v>
      </c>
      <c r="J155" s="41">
        <v>1</v>
      </c>
      <c r="K155" s="22">
        <v>600</v>
      </c>
      <c r="L155" s="46">
        <f t="shared" si="149"/>
        <v>131.18883237522274</v>
      </c>
      <c r="M155" s="39">
        <v>120</v>
      </c>
      <c r="N155" s="22">
        <v>12</v>
      </c>
      <c r="O155" s="22">
        <v>4</v>
      </c>
      <c r="P155" s="22">
        <v>800</v>
      </c>
      <c r="Q155" s="22">
        <v>80</v>
      </c>
      <c r="R155" s="49">
        <f t="shared" si="137"/>
        <v>1.6241338582677165</v>
      </c>
      <c r="S155" s="50">
        <f t="shared" si="138"/>
        <v>331660438.59263486</v>
      </c>
      <c r="T155" s="39">
        <v>21.5</v>
      </c>
      <c r="U155" s="54">
        <f t="shared" si="139"/>
        <v>1.098771321020616</v>
      </c>
      <c r="V155" s="54">
        <f t="shared" si="140"/>
        <v>15.25315443766586</v>
      </c>
      <c r="W155" s="54">
        <f t="shared" si="141"/>
        <v>0.07203567796490215</v>
      </c>
      <c r="X155" s="55">
        <f t="shared" si="142"/>
        <v>135.29148282578262</v>
      </c>
      <c r="Y155" s="42">
        <v>14</v>
      </c>
      <c r="Z155" s="43">
        <v>4</v>
      </c>
      <c r="AA155" s="43">
        <v>3</v>
      </c>
      <c r="AB155" s="158">
        <f t="shared" si="148"/>
        <v>3.694276779870555</v>
      </c>
      <c r="AC155" s="59">
        <f t="shared" si="147"/>
        <v>113.09724</v>
      </c>
      <c r="AD155" s="59">
        <f t="shared" si="143"/>
        <v>42.875417921225775</v>
      </c>
      <c r="AE155" s="60">
        <f t="shared" si="144"/>
        <v>416.5466777846765</v>
      </c>
      <c r="AF155" s="61">
        <f t="shared" si="145"/>
        <v>439.3676648917062</v>
      </c>
      <c r="AG155" s="62">
        <f t="shared" si="146"/>
        <v>0.0024710512100784648</v>
      </c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</row>
    <row r="156" spans="1:65" s="22" customFormat="1" ht="12.75">
      <c r="A156" s="38" t="s">
        <v>71</v>
      </c>
      <c r="B156" s="39">
        <v>24</v>
      </c>
      <c r="C156" s="39">
        <v>85</v>
      </c>
      <c r="D156" s="39">
        <v>15</v>
      </c>
      <c r="E156" s="39">
        <v>80</v>
      </c>
      <c r="F156" s="39">
        <v>7.5</v>
      </c>
      <c r="G156" s="39">
        <v>-25</v>
      </c>
      <c r="H156" s="49">
        <f t="shared" si="136"/>
        <v>28.308766233290488</v>
      </c>
      <c r="I156" s="40">
        <v>2</v>
      </c>
      <c r="J156" s="41">
        <v>1</v>
      </c>
      <c r="K156" s="22">
        <v>600</v>
      </c>
      <c r="L156" s="46">
        <f t="shared" si="149"/>
        <v>131.18883237522274</v>
      </c>
      <c r="M156" s="39">
        <v>120</v>
      </c>
      <c r="N156" s="22">
        <v>12</v>
      </c>
      <c r="O156" s="22">
        <v>4</v>
      </c>
      <c r="P156" s="22">
        <v>800</v>
      </c>
      <c r="Q156" s="22">
        <v>80</v>
      </c>
      <c r="R156" s="49">
        <f t="shared" si="137"/>
        <v>1.6241338582677165</v>
      </c>
      <c r="S156" s="50">
        <f t="shared" si="138"/>
        <v>331660438.59263486</v>
      </c>
      <c r="T156" s="39">
        <v>21.5</v>
      </c>
      <c r="U156" s="54">
        <f t="shared" si="139"/>
        <v>1.098771321020616</v>
      </c>
      <c r="V156" s="54">
        <f t="shared" si="140"/>
        <v>15.25315443766586</v>
      </c>
      <c r="W156" s="54">
        <f t="shared" si="141"/>
        <v>0.07203567796490215</v>
      </c>
      <c r="X156" s="55">
        <f t="shared" si="142"/>
        <v>135.29148282578262</v>
      </c>
      <c r="Y156" s="42">
        <v>15</v>
      </c>
      <c r="Z156" s="43">
        <v>4</v>
      </c>
      <c r="AA156" s="43">
        <v>3</v>
      </c>
      <c r="AB156" s="158">
        <f t="shared" si="148"/>
        <v>3.694276779870555</v>
      </c>
      <c r="AC156" s="59">
        <f t="shared" si="147"/>
        <v>113.09724</v>
      </c>
      <c r="AD156" s="59">
        <f t="shared" si="143"/>
        <v>42.875417921225775</v>
      </c>
      <c r="AE156" s="60">
        <f t="shared" si="144"/>
        <v>165.83021929631693</v>
      </c>
      <c r="AF156" s="61">
        <f t="shared" si="145"/>
        <v>199.6525619871076</v>
      </c>
      <c r="AG156" s="62">
        <f t="shared" si="146"/>
        <v>0.005437946747060067</v>
      </c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</row>
    <row r="157" spans="1:65" s="22" customFormat="1" ht="12.75">
      <c r="A157" s="38" t="s">
        <v>71</v>
      </c>
      <c r="B157" s="39">
        <v>24</v>
      </c>
      <c r="C157" s="39">
        <v>85</v>
      </c>
      <c r="D157" s="39">
        <v>15</v>
      </c>
      <c r="E157" s="39">
        <v>80</v>
      </c>
      <c r="F157" s="39">
        <v>7.5</v>
      </c>
      <c r="G157" s="39">
        <v>-25</v>
      </c>
      <c r="H157" s="49">
        <f t="shared" si="136"/>
        <v>28.308766233290488</v>
      </c>
      <c r="I157" s="40">
        <v>2</v>
      </c>
      <c r="J157" s="41">
        <v>1</v>
      </c>
      <c r="K157" s="22">
        <v>600</v>
      </c>
      <c r="L157" s="46">
        <f t="shared" si="149"/>
        <v>131.18883237522274</v>
      </c>
      <c r="M157" s="39">
        <v>120</v>
      </c>
      <c r="N157" s="22">
        <v>12</v>
      </c>
      <c r="O157" s="22">
        <v>4</v>
      </c>
      <c r="P157" s="22">
        <v>800</v>
      </c>
      <c r="Q157" s="22">
        <v>80</v>
      </c>
      <c r="R157" s="49">
        <f t="shared" si="137"/>
        <v>1.6241338582677165</v>
      </c>
      <c r="S157" s="50">
        <f t="shared" si="138"/>
        <v>331660438.59263486</v>
      </c>
      <c r="T157" s="39">
        <v>21.5</v>
      </c>
      <c r="U157" s="54">
        <f t="shared" si="139"/>
        <v>1.098771321020616</v>
      </c>
      <c r="V157" s="54">
        <f t="shared" si="140"/>
        <v>15.25315443766586</v>
      </c>
      <c r="W157" s="54">
        <f t="shared" si="141"/>
        <v>0.07203567796490215</v>
      </c>
      <c r="X157" s="55">
        <f t="shared" si="142"/>
        <v>135.29148282578262</v>
      </c>
      <c r="Y157" s="42">
        <v>16</v>
      </c>
      <c r="Z157" s="43">
        <v>4</v>
      </c>
      <c r="AA157" s="43">
        <v>3</v>
      </c>
      <c r="AB157" s="158">
        <f t="shared" si="148"/>
        <v>3.694276779870555</v>
      </c>
      <c r="AC157" s="59">
        <f t="shared" si="147"/>
        <v>113.09724</v>
      </c>
      <c r="AD157" s="59">
        <f t="shared" si="143"/>
        <v>42.875417921225775</v>
      </c>
      <c r="AE157" s="60">
        <f t="shared" si="144"/>
        <v>66.0181993963227</v>
      </c>
      <c r="AF157" s="61">
        <f t="shared" si="145"/>
        <v>84.75653715612177</v>
      </c>
      <c r="AG157" s="62">
        <f t="shared" si="146"/>
        <v>0.012809631403417742</v>
      </c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</row>
    <row r="158" spans="1:65" s="22" customFormat="1" ht="12.75">
      <c r="A158" s="38" t="s">
        <v>71</v>
      </c>
      <c r="B158" s="39">
        <v>24</v>
      </c>
      <c r="C158" s="39">
        <v>85</v>
      </c>
      <c r="D158" s="39">
        <v>15</v>
      </c>
      <c r="E158" s="39">
        <v>80</v>
      </c>
      <c r="F158" s="39">
        <v>7.5</v>
      </c>
      <c r="G158" s="39">
        <v>-25</v>
      </c>
      <c r="H158" s="49">
        <f aca="true" t="shared" si="150" ref="H158:H173">B158*B158*(E158/16.022)*EXP(0.69315*(G158-25)/F158)</f>
        <v>28.308766233290488</v>
      </c>
      <c r="I158" s="40">
        <v>2</v>
      </c>
      <c r="J158" s="41">
        <v>1</v>
      </c>
      <c r="K158" s="22">
        <v>600</v>
      </c>
      <c r="L158" s="46">
        <f t="shared" si="149"/>
        <v>131.18883237522274</v>
      </c>
      <c r="M158" s="39">
        <v>120</v>
      </c>
      <c r="N158" s="22">
        <v>12</v>
      </c>
      <c r="O158" s="22">
        <v>4</v>
      </c>
      <c r="P158" s="22">
        <v>800</v>
      </c>
      <c r="Q158" s="22">
        <v>80</v>
      </c>
      <c r="R158" s="49">
        <f aca="true" t="shared" si="151" ref="R158:R173">B158*J158/((25.4*M158/206265)*1000)</f>
        <v>1.6241338582677165</v>
      </c>
      <c r="S158" s="50">
        <f aca="true" t="shared" si="152" ref="S158:S173">940*P158*Q158/100*C158/100*3.14159*(N158*N158-O158*O158)/4*2.54*2.54</f>
        <v>331660438.59263486</v>
      </c>
      <c r="T158" s="39">
        <v>21.5</v>
      </c>
      <c r="U158" s="54">
        <f aca="true" t="shared" si="153" ref="U158:U173">(S158*(EXP(-0.4*LN(10)*T158))*R158*R158)/I158</f>
        <v>1.098771321020616</v>
      </c>
      <c r="V158" s="54">
        <f aca="true" t="shared" si="154" ref="V158:V173">(S158*(EXP(-0.4*LN(10)*T158))*R158*R158+(J158*J158*H158))/I158</f>
        <v>15.25315443766586</v>
      </c>
      <c r="W158" s="54">
        <f aca="true" t="shared" si="155" ref="W158:W173">U158/V158</f>
        <v>0.07203567796490215</v>
      </c>
      <c r="X158" s="55">
        <f aca="true" t="shared" si="156" ref="X158:X173">SQRT(V158*K158*I158)</f>
        <v>135.29148282578262</v>
      </c>
      <c r="Y158" s="42">
        <v>17</v>
      </c>
      <c r="Z158" s="43">
        <v>4</v>
      </c>
      <c r="AA158" s="43">
        <v>3</v>
      </c>
      <c r="AB158" s="158">
        <f t="shared" si="148"/>
        <v>3.694276779870555</v>
      </c>
      <c r="AC158" s="59">
        <f t="shared" si="147"/>
        <v>113.09724</v>
      </c>
      <c r="AD158" s="59">
        <f aca="true" t="shared" si="157" ref="AD158:AD173">AC158/(R158*R158)</f>
        <v>42.875417921225775</v>
      </c>
      <c r="AE158" s="60">
        <f aca="true" t="shared" si="158" ref="AE158:AE173">S158*EXP(-0.4*LN(10)*Y158)/I158</f>
        <v>26.282318566706643</v>
      </c>
      <c r="AF158" s="61">
        <f aca="true" t="shared" si="159" ref="AF158:AF173">SQRT((AE158*K158*I158)/(1+(MAX(1,AD158))*(V158*I158*K158+(I158*I158-1)/12+D158*D158)/(AE158*K158*I158)))</f>
        <v>34.70247423222203</v>
      </c>
      <c r="AG158" s="62">
        <f aca="true" t="shared" si="160" ref="AG158:AG173">1.0857/AF158</f>
        <v>0.031285953639348954</v>
      </c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</row>
    <row r="159" spans="1:65" s="22" customFormat="1" ht="12.75">
      <c r="A159" s="38" t="s">
        <v>71</v>
      </c>
      <c r="B159" s="39">
        <v>24</v>
      </c>
      <c r="C159" s="39">
        <v>85</v>
      </c>
      <c r="D159" s="39">
        <v>15</v>
      </c>
      <c r="E159" s="39">
        <v>80</v>
      </c>
      <c r="F159" s="39">
        <v>7.5</v>
      </c>
      <c r="G159" s="39">
        <v>-25</v>
      </c>
      <c r="H159" s="49">
        <f t="shared" si="150"/>
        <v>28.308766233290488</v>
      </c>
      <c r="I159" s="40">
        <v>2</v>
      </c>
      <c r="J159" s="41">
        <v>1</v>
      </c>
      <c r="K159" s="22">
        <v>600</v>
      </c>
      <c r="L159" s="46">
        <f t="shared" si="149"/>
        <v>131.18883237522274</v>
      </c>
      <c r="M159" s="39">
        <v>120</v>
      </c>
      <c r="N159" s="22">
        <v>12</v>
      </c>
      <c r="O159" s="22">
        <v>4</v>
      </c>
      <c r="P159" s="22">
        <v>800</v>
      </c>
      <c r="Q159" s="22">
        <v>80</v>
      </c>
      <c r="R159" s="49">
        <f t="shared" si="151"/>
        <v>1.6241338582677165</v>
      </c>
      <c r="S159" s="50">
        <f t="shared" si="152"/>
        <v>331660438.59263486</v>
      </c>
      <c r="T159" s="39">
        <v>21.5</v>
      </c>
      <c r="U159" s="54">
        <f t="shared" si="153"/>
        <v>1.098771321020616</v>
      </c>
      <c r="V159" s="54">
        <f t="shared" si="154"/>
        <v>15.25315443766586</v>
      </c>
      <c r="W159" s="54">
        <f t="shared" si="155"/>
        <v>0.07203567796490215</v>
      </c>
      <c r="X159" s="55">
        <f t="shared" si="156"/>
        <v>135.29148282578262</v>
      </c>
      <c r="Y159" s="42">
        <v>18</v>
      </c>
      <c r="Z159" s="43">
        <v>4</v>
      </c>
      <c r="AA159" s="43">
        <v>3</v>
      </c>
      <c r="AB159" s="158">
        <f t="shared" si="148"/>
        <v>3.694276779870555</v>
      </c>
      <c r="AC159" s="59">
        <f t="shared" si="147"/>
        <v>113.09724</v>
      </c>
      <c r="AD159" s="59">
        <f t="shared" si="157"/>
        <v>42.875417921225775</v>
      </c>
      <c r="AE159" s="60">
        <f t="shared" si="158"/>
        <v>10.46317948017723</v>
      </c>
      <c r="AF159" s="61">
        <f t="shared" si="159"/>
        <v>13.976848054765142</v>
      </c>
      <c r="AG159" s="62">
        <f t="shared" si="160"/>
        <v>0.07767845767128098</v>
      </c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</row>
    <row r="160" spans="1:65" s="22" customFormat="1" ht="12.75">
      <c r="A160" s="38" t="s">
        <v>71</v>
      </c>
      <c r="B160" s="39">
        <v>24</v>
      </c>
      <c r="C160" s="39">
        <v>85</v>
      </c>
      <c r="D160" s="39">
        <v>15</v>
      </c>
      <c r="E160" s="39">
        <v>80</v>
      </c>
      <c r="F160" s="39">
        <v>7.5</v>
      </c>
      <c r="G160" s="39">
        <v>-25</v>
      </c>
      <c r="H160" s="49">
        <f t="shared" si="150"/>
        <v>28.308766233290488</v>
      </c>
      <c r="I160" s="40">
        <v>2</v>
      </c>
      <c r="J160" s="41">
        <v>1</v>
      </c>
      <c r="K160" s="22">
        <v>600</v>
      </c>
      <c r="L160" s="46">
        <f t="shared" si="149"/>
        <v>131.18883237522274</v>
      </c>
      <c r="M160" s="39">
        <v>120</v>
      </c>
      <c r="N160" s="22">
        <v>12</v>
      </c>
      <c r="O160" s="22">
        <v>4</v>
      </c>
      <c r="P160" s="22">
        <v>800</v>
      </c>
      <c r="Q160" s="22">
        <v>80</v>
      </c>
      <c r="R160" s="49">
        <f t="shared" si="151"/>
        <v>1.6241338582677165</v>
      </c>
      <c r="S160" s="50">
        <f t="shared" si="152"/>
        <v>331660438.59263486</v>
      </c>
      <c r="T160" s="39">
        <v>21.5</v>
      </c>
      <c r="U160" s="54">
        <f t="shared" si="153"/>
        <v>1.098771321020616</v>
      </c>
      <c r="V160" s="54">
        <f t="shared" si="154"/>
        <v>15.25315443766586</v>
      </c>
      <c r="W160" s="54">
        <f t="shared" si="155"/>
        <v>0.07203567796490215</v>
      </c>
      <c r="X160" s="55">
        <f t="shared" si="156"/>
        <v>135.29148282578262</v>
      </c>
      <c r="Y160" s="42">
        <v>19</v>
      </c>
      <c r="Z160" s="43">
        <v>4</v>
      </c>
      <c r="AA160" s="43">
        <v>3</v>
      </c>
      <c r="AB160" s="158">
        <f t="shared" si="148"/>
        <v>3.694276779870555</v>
      </c>
      <c r="AC160" s="59">
        <f t="shared" si="147"/>
        <v>113.09724</v>
      </c>
      <c r="AD160" s="59">
        <f t="shared" si="157"/>
        <v>42.875417921225775</v>
      </c>
      <c r="AE160" s="60">
        <f t="shared" si="158"/>
        <v>4.16546677784677</v>
      </c>
      <c r="AF160" s="61">
        <f t="shared" si="159"/>
        <v>5.590521716145038</v>
      </c>
      <c r="AG160" s="62">
        <f t="shared" si="160"/>
        <v>0.19420369960545433</v>
      </c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</row>
    <row r="161" spans="1:65" s="22" customFormat="1" ht="12.75">
      <c r="A161" s="38" t="s">
        <v>71</v>
      </c>
      <c r="B161" s="39">
        <v>24</v>
      </c>
      <c r="C161" s="39">
        <v>85</v>
      </c>
      <c r="D161" s="39">
        <v>15</v>
      </c>
      <c r="E161" s="39">
        <v>80</v>
      </c>
      <c r="F161" s="39">
        <v>7.5</v>
      </c>
      <c r="G161" s="39">
        <v>-25</v>
      </c>
      <c r="H161" s="49">
        <f t="shared" si="150"/>
        <v>28.308766233290488</v>
      </c>
      <c r="I161" s="40">
        <v>2</v>
      </c>
      <c r="J161" s="41">
        <v>1</v>
      </c>
      <c r="K161" s="22">
        <v>600</v>
      </c>
      <c r="L161" s="46">
        <f t="shared" si="149"/>
        <v>131.18883237522274</v>
      </c>
      <c r="M161" s="39">
        <v>120</v>
      </c>
      <c r="N161" s="22">
        <v>12</v>
      </c>
      <c r="O161" s="22">
        <v>4</v>
      </c>
      <c r="P161" s="22">
        <v>800</v>
      </c>
      <c r="Q161" s="22">
        <v>80</v>
      </c>
      <c r="R161" s="49">
        <f t="shared" si="151"/>
        <v>1.6241338582677165</v>
      </c>
      <c r="S161" s="50">
        <f t="shared" si="152"/>
        <v>331660438.59263486</v>
      </c>
      <c r="T161" s="39">
        <v>21.5</v>
      </c>
      <c r="U161" s="54">
        <f t="shared" si="153"/>
        <v>1.098771321020616</v>
      </c>
      <c r="V161" s="54">
        <f t="shared" si="154"/>
        <v>15.25315443766586</v>
      </c>
      <c r="W161" s="54">
        <f t="shared" si="155"/>
        <v>0.07203567796490215</v>
      </c>
      <c r="X161" s="55">
        <f t="shared" si="156"/>
        <v>135.29148282578262</v>
      </c>
      <c r="Y161" s="42">
        <v>20</v>
      </c>
      <c r="Z161" s="43">
        <v>4</v>
      </c>
      <c r="AA161" s="43">
        <v>3</v>
      </c>
      <c r="AB161" s="158">
        <f t="shared" si="148"/>
        <v>3.694276779870555</v>
      </c>
      <c r="AC161" s="59">
        <f t="shared" si="147"/>
        <v>113.09724</v>
      </c>
      <c r="AD161" s="59">
        <f t="shared" si="157"/>
        <v>42.875417921225775</v>
      </c>
      <c r="AE161" s="60">
        <f t="shared" si="158"/>
        <v>1.6583021929631714</v>
      </c>
      <c r="AF161" s="61">
        <f t="shared" si="159"/>
        <v>2.2298265880684855</v>
      </c>
      <c r="AG161" s="62">
        <f t="shared" si="160"/>
        <v>0.4868988493587083</v>
      </c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</row>
    <row r="162" spans="1:65" s="22" customFormat="1" ht="12.75">
      <c r="A162" s="38" t="s">
        <v>71</v>
      </c>
      <c r="B162" s="39">
        <v>24</v>
      </c>
      <c r="C162" s="39">
        <v>85</v>
      </c>
      <c r="D162" s="39">
        <v>15</v>
      </c>
      <c r="E162" s="39">
        <v>80</v>
      </c>
      <c r="F162" s="39">
        <v>7.5</v>
      </c>
      <c r="G162" s="39">
        <v>-25</v>
      </c>
      <c r="H162" s="49">
        <f t="shared" si="150"/>
        <v>28.308766233290488</v>
      </c>
      <c r="I162" s="40">
        <v>2</v>
      </c>
      <c r="J162" s="41">
        <v>1</v>
      </c>
      <c r="K162" s="22">
        <v>600</v>
      </c>
      <c r="L162" s="46">
        <f aca="true" t="shared" si="161" ref="L162:L177">SQRT(K162*H162*J162*J162+D162*D162+(I162*I162-1)/12)</f>
        <v>131.18883237522274</v>
      </c>
      <c r="M162" s="39">
        <v>120</v>
      </c>
      <c r="N162" s="22">
        <v>12</v>
      </c>
      <c r="O162" s="22">
        <v>4</v>
      </c>
      <c r="P162" s="22">
        <v>800</v>
      </c>
      <c r="Q162" s="22">
        <v>80</v>
      </c>
      <c r="R162" s="49">
        <f t="shared" si="151"/>
        <v>1.6241338582677165</v>
      </c>
      <c r="S162" s="50">
        <f t="shared" si="152"/>
        <v>331660438.59263486</v>
      </c>
      <c r="T162" s="39">
        <v>21.5</v>
      </c>
      <c r="U162" s="54">
        <f t="shared" si="153"/>
        <v>1.098771321020616</v>
      </c>
      <c r="V162" s="54">
        <f t="shared" si="154"/>
        <v>15.25315443766586</v>
      </c>
      <c r="W162" s="54">
        <f t="shared" si="155"/>
        <v>0.07203567796490215</v>
      </c>
      <c r="X162" s="55">
        <f t="shared" si="156"/>
        <v>135.29148282578262</v>
      </c>
      <c r="Y162" s="42">
        <v>21</v>
      </c>
      <c r="Z162" s="43">
        <v>4</v>
      </c>
      <c r="AA162" s="43">
        <v>3</v>
      </c>
      <c r="AB162" s="158">
        <f t="shared" si="148"/>
        <v>3.694276779870555</v>
      </c>
      <c r="AC162" s="59">
        <f t="shared" si="147"/>
        <v>113.09724</v>
      </c>
      <c r="AD162" s="59">
        <f t="shared" si="157"/>
        <v>42.875417921225775</v>
      </c>
      <c r="AE162" s="60">
        <f t="shared" si="158"/>
        <v>0.6601819939632256</v>
      </c>
      <c r="AF162" s="61">
        <f t="shared" si="159"/>
        <v>0.8883782172505278</v>
      </c>
      <c r="AG162" s="62">
        <f t="shared" si="160"/>
        <v>1.2221146116798882</v>
      </c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</row>
    <row r="163" spans="1:65" s="22" customFormat="1" ht="12.75">
      <c r="A163" s="38" t="s">
        <v>71</v>
      </c>
      <c r="B163" s="39">
        <v>24</v>
      </c>
      <c r="C163" s="39">
        <v>85</v>
      </c>
      <c r="D163" s="39">
        <v>15</v>
      </c>
      <c r="E163" s="39">
        <v>80</v>
      </c>
      <c r="F163" s="39">
        <v>7.5</v>
      </c>
      <c r="G163" s="39">
        <v>-25</v>
      </c>
      <c r="H163" s="49">
        <f t="shared" si="150"/>
        <v>28.308766233290488</v>
      </c>
      <c r="I163" s="40">
        <v>2</v>
      </c>
      <c r="J163" s="41">
        <v>1</v>
      </c>
      <c r="K163" s="22">
        <v>600</v>
      </c>
      <c r="L163" s="46">
        <f t="shared" si="161"/>
        <v>131.18883237522274</v>
      </c>
      <c r="M163" s="39">
        <v>120</v>
      </c>
      <c r="N163" s="22">
        <v>12</v>
      </c>
      <c r="O163" s="22">
        <v>4</v>
      </c>
      <c r="P163" s="22">
        <v>800</v>
      </c>
      <c r="Q163" s="22">
        <v>80</v>
      </c>
      <c r="R163" s="49">
        <f t="shared" si="151"/>
        <v>1.6241338582677165</v>
      </c>
      <c r="S163" s="50">
        <f t="shared" si="152"/>
        <v>331660438.59263486</v>
      </c>
      <c r="T163" s="39">
        <v>21.5</v>
      </c>
      <c r="U163" s="54">
        <f t="shared" si="153"/>
        <v>1.098771321020616</v>
      </c>
      <c r="V163" s="54">
        <f t="shared" si="154"/>
        <v>15.25315443766586</v>
      </c>
      <c r="W163" s="54">
        <f t="shared" si="155"/>
        <v>0.07203567796490215</v>
      </c>
      <c r="X163" s="55">
        <f t="shared" si="156"/>
        <v>135.29148282578262</v>
      </c>
      <c r="Y163" s="42">
        <v>22</v>
      </c>
      <c r="Z163" s="43">
        <v>4</v>
      </c>
      <c r="AA163" s="43">
        <v>3</v>
      </c>
      <c r="AB163" s="158">
        <f t="shared" si="148"/>
        <v>3.694276779870555</v>
      </c>
      <c r="AC163" s="59">
        <f t="shared" si="147"/>
        <v>113.09724</v>
      </c>
      <c r="AD163" s="59">
        <f t="shared" si="157"/>
        <v>42.875417921225775</v>
      </c>
      <c r="AE163" s="60">
        <f t="shared" si="158"/>
        <v>0.2628231856670658</v>
      </c>
      <c r="AF163" s="61">
        <f t="shared" si="159"/>
        <v>0.35377581840335687</v>
      </c>
      <c r="AG163" s="62">
        <f t="shared" si="160"/>
        <v>3.0688926249960398</v>
      </c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</row>
    <row r="164" spans="1:65" s="22" customFormat="1" ht="12.75">
      <c r="A164" s="38" t="s">
        <v>71</v>
      </c>
      <c r="B164" s="39">
        <v>24</v>
      </c>
      <c r="C164" s="39">
        <v>85</v>
      </c>
      <c r="D164" s="39">
        <v>15</v>
      </c>
      <c r="E164" s="39">
        <v>80</v>
      </c>
      <c r="F164" s="39">
        <v>7.5</v>
      </c>
      <c r="G164" s="39">
        <v>-25</v>
      </c>
      <c r="H164" s="49">
        <f t="shared" si="150"/>
        <v>28.308766233290488</v>
      </c>
      <c r="I164" s="40">
        <v>2</v>
      </c>
      <c r="J164" s="41">
        <v>1</v>
      </c>
      <c r="K164" s="22">
        <v>600</v>
      </c>
      <c r="L164" s="46">
        <f t="shared" si="161"/>
        <v>131.18883237522274</v>
      </c>
      <c r="M164" s="39">
        <v>120</v>
      </c>
      <c r="N164" s="22">
        <v>12</v>
      </c>
      <c r="O164" s="22">
        <v>4</v>
      </c>
      <c r="P164" s="22">
        <v>800</v>
      </c>
      <c r="Q164" s="22">
        <v>80</v>
      </c>
      <c r="R164" s="49">
        <f t="shared" si="151"/>
        <v>1.6241338582677165</v>
      </c>
      <c r="S164" s="50">
        <f t="shared" si="152"/>
        <v>331660438.59263486</v>
      </c>
      <c r="T164" s="39">
        <v>21.5</v>
      </c>
      <c r="U164" s="54">
        <f t="shared" si="153"/>
        <v>1.098771321020616</v>
      </c>
      <c r="V164" s="54">
        <f t="shared" si="154"/>
        <v>15.25315443766586</v>
      </c>
      <c r="W164" s="54">
        <f t="shared" si="155"/>
        <v>0.07203567796490215</v>
      </c>
      <c r="X164" s="55">
        <f t="shared" si="156"/>
        <v>135.29148282578262</v>
      </c>
      <c r="Y164" s="42">
        <v>14</v>
      </c>
      <c r="Z164" s="43">
        <v>1</v>
      </c>
      <c r="AA164" s="43">
        <v>3</v>
      </c>
      <c r="AB164" s="158">
        <f t="shared" si="148"/>
        <v>0.9235691949676388</v>
      </c>
      <c r="AC164" s="59">
        <f t="shared" si="147"/>
        <v>7.0685775</v>
      </c>
      <c r="AD164" s="59">
        <f t="shared" si="157"/>
        <v>2.679713620076611</v>
      </c>
      <c r="AE164" s="60">
        <f t="shared" si="158"/>
        <v>416.5466777846765</v>
      </c>
      <c r="AF164" s="61">
        <f t="shared" si="159"/>
        <v>674.3070575983145</v>
      </c>
      <c r="AG164" s="62">
        <f t="shared" si="160"/>
        <v>0.0016100973403228903</v>
      </c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</row>
    <row r="165" spans="1:65" s="22" customFormat="1" ht="12.75">
      <c r="A165" s="38" t="s">
        <v>71</v>
      </c>
      <c r="B165" s="39">
        <v>24</v>
      </c>
      <c r="C165" s="39">
        <v>85</v>
      </c>
      <c r="D165" s="39">
        <v>15</v>
      </c>
      <c r="E165" s="39">
        <v>80</v>
      </c>
      <c r="F165" s="39">
        <v>7.5</v>
      </c>
      <c r="G165" s="39">
        <v>-25</v>
      </c>
      <c r="H165" s="49">
        <f t="shared" si="150"/>
        <v>28.308766233290488</v>
      </c>
      <c r="I165" s="40">
        <v>2</v>
      </c>
      <c r="J165" s="41">
        <v>1</v>
      </c>
      <c r="K165" s="22">
        <v>600</v>
      </c>
      <c r="L165" s="46">
        <f t="shared" si="161"/>
        <v>131.18883237522274</v>
      </c>
      <c r="M165" s="39">
        <v>120</v>
      </c>
      <c r="N165" s="22">
        <v>12</v>
      </c>
      <c r="O165" s="22">
        <v>4</v>
      </c>
      <c r="P165" s="22">
        <v>800</v>
      </c>
      <c r="Q165" s="22">
        <v>80</v>
      </c>
      <c r="R165" s="49">
        <f t="shared" si="151"/>
        <v>1.6241338582677165</v>
      </c>
      <c r="S165" s="50">
        <f t="shared" si="152"/>
        <v>331660438.59263486</v>
      </c>
      <c r="T165" s="39">
        <v>21.5</v>
      </c>
      <c r="U165" s="54">
        <f t="shared" si="153"/>
        <v>1.098771321020616</v>
      </c>
      <c r="V165" s="54">
        <f t="shared" si="154"/>
        <v>15.25315443766586</v>
      </c>
      <c r="W165" s="54">
        <f t="shared" si="155"/>
        <v>0.07203567796490215</v>
      </c>
      <c r="X165" s="55">
        <f t="shared" si="156"/>
        <v>135.29148282578262</v>
      </c>
      <c r="Y165" s="42">
        <v>15</v>
      </c>
      <c r="Z165" s="43">
        <v>1</v>
      </c>
      <c r="AA165" s="43">
        <v>3</v>
      </c>
      <c r="AB165" s="158">
        <f t="shared" si="148"/>
        <v>0.9235691949676388</v>
      </c>
      <c r="AC165" s="59">
        <f t="shared" si="147"/>
        <v>7.0685775</v>
      </c>
      <c r="AD165" s="59">
        <f t="shared" si="157"/>
        <v>2.679713620076611</v>
      </c>
      <c r="AE165" s="60">
        <f t="shared" si="158"/>
        <v>165.83021929631693</v>
      </c>
      <c r="AF165" s="61">
        <f t="shared" si="159"/>
        <v>399.07246371682623</v>
      </c>
      <c r="AG165" s="62">
        <f t="shared" si="160"/>
        <v>0.0027205585418952657</v>
      </c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</row>
    <row r="166" spans="1:65" s="22" customFormat="1" ht="12.75">
      <c r="A166" s="38" t="s">
        <v>71</v>
      </c>
      <c r="B166" s="39">
        <v>24</v>
      </c>
      <c r="C166" s="39">
        <v>85</v>
      </c>
      <c r="D166" s="39">
        <v>15</v>
      </c>
      <c r="E166" s="39">
        <v>80</v>
      </c>
      <c r="F166" s="39">
        <v>7.5</v>
      </c>
      <c r="G166" s="39">
        <v>-25</v>
      </c>
      <c r="H166" s="49">
        <f t="shared" si="150"/>
        <v>28.308766233290488</v>
      </c>
      <c r="I166" s="40">
        <v>2</v>
      </c>
      <c r="J166" s="41">
        <v>1</v>
      </c>
      <c r="K166" s="22">
        <v>600</v>
      </c>
      <c r="L166" s="46">
        <f t="shared" si="161"/>
        <v>131.18883237522274</v>
      </c>
      <c r="M166" s="39">
        <v>120</v>
      </c>
      <c r="N166" s="22">
        <v>12</v>
      </c>
      <c r="O166" s="22">
        <v>4</v>
      </c>
      <c r="P166" s="22">
        <v>800</v>
      </c>
      <c r="Q166" s="22">
        <v>80</v>
      </c>
      <c r="R166" s="49">
        <f t="shared" si="151"/>
        <v>1.6241338582677165</v>
      </c>
      <c r="S166" s="50">
        <f t="shared" si="152"/>
        <v>331660438.59263486</v>
      </c>
      <c r="T166" s="39">
        <v>21.5</v>
      </c>
      <c r="U166" s="54">
        <f t="shared" si="153"/>
        <v>1.098771321020616</v>
      </c>
      <c r="V166" s="54">
        <f t="shared" si="154"/>
        <v>15.25315443766586</v>
      </c>
      <c r="W166" s="54">
        <f t="shared" si="155"/>
        <v>0.07203567796490215</v>
      </c>
      <c r="X166" s="55">
        <f t="shared" si="156"/>
        <v>135.29148282578262</v>
      </c>
      <c r="Y166" s="42">
        <v>16</v>
      </c>
      <c r="Z166" s="43">
        <v>1</v>
      </c>
      <c r="AA166" s="43">
        <v>3</v>
      </c>
      <c r="AB166" s="158">
        <f t="shared" si="148"/>
        <v>0.9235691949676388</v>
      </c>
      <c r="AC166" s="59">
        <f t="shared" si="147"/>
        <v>7.0685775</v>
      </c>
      <c r="AD166" s="59">
        <f t="shared" si="157"/>
        <v>2.679713620076611</v>
      </c>
      <c r="AE166" s="60">
        <f t="shared" si="158"/>
        <v>66.0181993963227</v>
      </c>
      <c r="AF166" s="61">
        <f t="shared" si="159"/>
        <v>220.6793424372968</v>
      </c>
      <c r="AG166" s="62">
        <f t="shared" si="160"/>
        <v>0.00491980802556763</v>
      </c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</row>
    <row r="167" spans="1:65" s="22" customFormat="1" ht="12.75">
      <c r="A167" s="38" t="s">
        <v>71</v>
      </c>
      <c r="B167" s="39">
        <v>24</v>
      </c>
      <c r="C167" s="39">
        <v>85</v>
      </c>
      <c r="D167" s="39">
        <v>15</v>
      </c>
      <c r="E167" s="39">
        <v>80</v>
      </c>
      <c r="F167" s="39">
        <v>7.5</v>
      </c>
      <c r="G167" s="39">
        <v>-25</v>
      </c>
      <c r="H167" s="49">
        <f t="shared" si="150"/>
        <v>28.308766233290488</v>
      </c>
      <c r="I167" s="40">
        <v>2</v>
      </c>
      <c r="J167" s="41">
        <v>1</v>
      </c>
      <c r="K167" s="22">
        <v>600</v>
      </c>
      <c r="L167" s="46">
        <f t="shared" si="161"/>
        <v>131.18883237522274</v>
      </c>
      <c r="M167" s="39">
        <v>120</v>
      </c>
      <c r="N167" s="22">
        <v>12</v>
      </c>
      <c r="O167" s="22">
        <v>4</v>
      </c>
      <c r="P167" s="22">
        <v>800</v>
      </c>
      <c r="Q167" s="22">
        <v>80</v>
      </c>
      <c r="R167" s="49">
        <f t="shared" si="151"/>
        <v>1.6241338582677165</v>
      </c>
      <c r="S167" s="50">
        <f t="shared" si="152"/>
        <v>331660438.59263486</v>
      </c>
      <c r="T167" s="39">
        <v>21.5</v>
      </c>
      <c r="U167" s="54">
        <f t="shared" si="153"/>
        <v>1.098771321020616</v>
      </c>
      <c r="V167" s="54">
        <f t="shared" si="154"/>
        <v>15.25315443766586</v>
      </c>
      <c r="W167" s="54">
        <f t="shared" si="155"/>
        <v>0.07203567796490215</v>
      </c>
      <c r="X167" s="55">
        <f t="shared" si="156"/>
        <v>135.29148282578262</v>
      </c>
      <c r="Y167" s="42">
        <v>17</v>
      </c>
      <c r="Z167" s="43">
        <v>1</v>
      </c>
      <c r="AA167" s="43">
        <v>3</v>
      </c>
      <c r="AB167" s="158">
        <f t="shared" si="148"/>
        <v>0.9235691949676388</v>
      </c>
      <c r="AC167" s="59">
        <f t="shared" si="147"/>
        <v>7.0685775</v>
      </c>
      <c r="AD167" s="59">
        <f t="shared" si="157"/>
        <v>2.679713620076611</v>
      </c>
      <c r="AE167" s="60">
        <f t="shared" si="158"/>
        <v>26.282318566706643</v>
      </c>
      <c r="AF167" s="61">
        <f t="shared" si="159"/>
        <v>110.68536425467587</v>
      </c>
      <c r="AG167" s="62">
        <f t="shared" si="160"/>
        <v>0.009808884917267958</v>
      </c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</row>
    <row r="168" spans="1:65" s="22" customFormat="1" ht="12.75">
      <c r="A168" s="38" t="s">
        <v>71</v>
      </c>
      <c r="B168" s="39">
        <v>24</v>
      </c>
      <c r="C168" s="39">
        <v>85</v>
      </c>
      <c r="D168" s="39">
        <v>15</v>
      </c>
      <c r="E168" s="39">
        <v>80</v>
      </c>
      <c r="F168" s="39">
        <v>7.5</v>
      </c>
      <c r="G168" s="39">
        <v>-25</v>
      </c>
      <c r="H168" s="49">
        <f t="shared" si="150"/>
        <v>28.308766233290488</v>
      </c>
      <c r="I168" s="40">
        <v>2</v>
      </c>
      <c r="J168" s="41">
        <v>1</v>
      </c>
      <c r="K168" s="22">
        <v>600</v>
      </c>
      <c r="L168" s="46">
        <f t="shared" si="161"/>
        <v>131.18883237522274</v>
      </c>
      <c r="M168" s="39">
        <v>120</v>
      </c>
      <c r="N168" s="22">
        <v>12</v>
      </c>
      <c r="O168" s="22">
        <v>4</v>
      </c>
      <c r="P168" s="22">
        <v>800</v>
      </c>
      <c r="Q168" s="22">
        <v>80</v>
      </c>
      <c r="R168" s="49">
        <f t="shared" si="151"/>
        <v>1.6241338582677165</v>
      </c>
      <c r="S168" s="50">
        <f t="shared" si="152"/>
        <v>331660438.59263486</v>
      </c>
      <c r="T168" s="39">
        <v>21.5</v>
      </c>
      <c r="U168" s="54">
        <f t="shared" si="153"/>
        <v>1.098771321020616</v>
      </c>
      <c r="V168" s="54">
        <f t="shared" si="154"/>
        <v>15.25315443766586</v>
      </c>
      <c r="W168" s="54">
        <f t="shared" si="155"/>
        <v>0.07203567796490215</v>
      </c>
      <c r="X168" s="55">
        <f t="shared" si="156"/>
        <v>135.29148282578262</v>
      </c>
      <c r="Y168" s="42">
        <v>18</v>
      </c>
      <c r="Z168" s="43">
        <v>1</v>
      </c>
      <c r="AA168" s="43">
        <v>3</v>
      </c>
      <c r="AB168" s="158">
        <f t="shared" si="148"/>
        <v>0.9235691949676388</v>
      </c>
      <c r="AC168" s="59">
        <f t="shared" si="147"/>
        <v>7.0685775</v>
      </c>
      <c r="AD168" s="59">
        <f t="shared" si="157"/>
        <v>2.679713620076611</v>
      </c>
      <c r="AE168" s="60">
        <f t="shared" si="158"/>
        <v>10.46317948017723</v>
      </c>
      <c r="AF168" s="61">
        <f t="shared" si="159"/>
        <v>50.34086476942073</v>
      </c>
      <c r="AG168" s="62">
        <f t="shared" si="160"/>
        <v>0.021566971584077797</v>
      </c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</row>
    <row r="169" spans="1:65" s="22" customFormat="1" ht="12.75">
      <c r="A169" s="38" t="s">
        <v>71</v>
      </c>
      <c r="B169" s="39">
        <v>24</v>
      </c>
      <c r="C169" s="39">
        <v>85</v>
      </c>
      <c r="D169" s="39">
        <v>15</v>
      </c>
      <c r="E169" s="39">
        <v>80</v>
      </c>
      <c r="F169" s="39">
        <v>7.5</v>
      </c>
      <c r="G169" s="39">
        <v>-25</v>
      </c>
      <c r="H169" s="49">
        <f t="shared" si="150"/>
        <v>28.308766233290488</v>
      </c>
      <c r="I169" s="40">
        <v>2</v>
      </c>
      <c r="J169" s="41">
        <v>1</v>
      </c>
      <c r="K169" s="22">
        <v>600</v>
      </c>
      <c r="L169" s="46">
        <f t="shared" si="161"/>
        <v>131.18883237522274</v>
      </c>
      <c r="M169" s="39">
        <v>120</v>
      </c>
      <c r="N169" s="22">
        <v>12</v>
      </c>
      <c r="O169" s="22">
        <v>4</v>
      </c>
      <c r="P169" s="22">
        <v>800</v>
      </c>
      <c r="Q169" s="22">
        <v>80</v>
      </c>
      <c r="R169" s="49">
        <f t="shared" si="151"/>
        <v>1.6241338582677165</v>
      </c>
      <c r="S169" s="50">
        <f t="shared" si="152"/>
        <v>331660438.59263486</v>
      </c>
      <c r="T169" s="39">
        <v>21.5</v>
      </c>
      <c r="U169" s="54">
        <f t="shared" si="153"/>
        <v>1.098771321020616</v>
      </c>
      <c r="V169" s="54">
        <f t="shared" si="154"/>
        <v>15.25315443766586</v>
      </c>
      <c r="W169" s="54">
        <f t="shared" si="155"/>
        <v>0.07203567796490215</v>
      </c>
      <c r="X169" s="55">
        <f t="shared" si="156"/>
        <v>135.29148282578262</v>
      </c>
      <c r="Y169" s="42">
        <v>19</v>
      </c>
      <c r="Z169" s="43">
        <v>1</v>
      </c>
      <c r="AA169" s="43">
        <v>3</v>
      </c>
      <c r="AB169" s="158">
        <f t="shared" si="148"/>
        <v>0.9235691949676388</v>
      </c>
      <c r="AC169" s="59">
        <f t="shared" si="147"/>
        <v>7.0685775</v>
      </c>
      <c r="AD169" s="59">
        <f t="shared" si="157"/>
        <v>2.679713620076611</v>
      </c>
      <c r="AE169" s="60">
        <f t="shared" si="158"/>
        <v>4.16546677784677</v>
      </c>
      <c r="AF169" s="61">
        <f t="shared" si="159"/>
        <v>21.381865461404406</v>
      </c>
      <c r="AG169" s="62">
        <f t="shared" si="160"/>
        <v>0.05077667343664453</v>
      </c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</row>
    <row r="170" spans="1:65" s="22" customFormat="1" ht="12.75">
      <c r="A170" s="38" t="s">
        <v>71</v>
      </c>
      <c r="B170" s="39">
        <v>24</v>
      </c>
      <c r="C170" s="39">
        <v>85</v>
      </c>
      <c r="D170" s="39">
        <v>15</v>
      </c>
      <c r="E170" s="39">
        <v>80</v>
      </c>
      <c r="F170" s="39">
        <v>7.5</v>
      </c>
      <c r="G170" s="39">
        <v>-25</v>
      </c>
      <c r="H170" s="49">
        <f t="shared" si="150"/>
        <v>28.308766233290488</v>
      </c>
      <c r="I170" s="40">
        <v>2</v>
      </c>
      <c r="J170" s="41">
        <v>1</v>
      </c>
      <c r="K170" s="22">
        <v>600</v>
      </c>
      <c r="L170" s="46">
        <f t="shared" si="161"/>
        <v>131.18883237522274</v>
      </c>
      <c r="M170" s="39">
        <v>120</v>
      </c>
      <c r="N170" s="22">
        <v>12</v>
      </c>
      <c r="O170" s="22">
        <v>4</v>
      </c>
      <c r="P170" s="22">
        <v>800</v>
      </c>
      <c r="Q170" s="22">
        <v>80</v>
      </c>
      <c r="R170" s="49">
        <f t="shared" si="151"/>
        <v>1.6241338582677165</v>
      </c>
      <c r="S170" s="50">
        <f t="shared" si="152"/>
        <v>331660438.59263486</v>
      </c>
      <c r="T170" s="39">
        <v>21.5</v>
      </c>
      <c r="U170" s="54">
        <f t="shared" si="153"/>
        <v>1.098771321020616</v>
      </c>
      <c r="V170" s="54">
        <f t="shared" si="154"/>
        <v>15.25315443766586</v>
      </c>
      <c r="W170" s="54">
        <f t="shared" si="155"/>
        <v>0.07203567796490215</v>
      </c>
      <c r="X170" s="55">
        <f t="shared" si="156"/>
        <v>135.29148282578262</v>
      </c>
      <c r="Y170" s="42">
        <v>20</v>
      </c>
      <c r="Z170" s="43">
        <v>1</v>
      </c>
      <c r="AA170" s="43">
        <v>3</v>
      </c>
      <c r="AB170" s="158">
        <f t="shared" si="148"/>
        <v>0.9235691949676388</v>
      </c>
      <c r="AC170" s="59">
        <f t="shared" si="147"/>
        <v>7.0685775</v>
      </c>
      <c r="AD170" s="59">
        <f t="shared" si="157"/>
        <v>2.679713620076611</v>
      </c>
      <c r="AE170" s="60">
        <f t="shared" si="158"/>
        <v>1.6583021929631714</v>
      </c>
      <c r="AF170" s="61">
        <f t="shared" si="159"/>
        <v>8.756719010971075</v>
      </c>
      <c r="AG170" s="62">
        <f t="shared" si="160"/>
        <v>0.12398479369267801</v>
      </c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</row>
    <row r="171" spans="1:65" s="22" customFormat="1" ht="12.75">
      <c r="A171" s="38" t="s">
        <v>71</v>
      </c>
      <c r="B171" s="39">
        <v>24</v>
      </c>
      <c r="C171" s="39">
        <v>85</v>
      </c>
      <c r="D171" s="39">
        <v>15</v>
      </c>
      <c r="E171" s="39">
        <v>80</v>
      </c>
      <c r="F171" s="39">
        <v>7.5</v>
      </c>
      <c r="G171" s="39">
        <v>-25</v>
      </c>
      <c r="H171" s="49">
        <f t="shared" si="150"/>
        <v>28.308766233290488</v>
      </c>
      <c r="I171" s="40">
        <v>2</v>
      </c>
      <c r="J171" s="41">
        <v>1</v>
      </c>
      <c r="K171" s="22">
        <v>600</v>
      </c>
      <c r="L171" s="46">
        <f t="shared" si="161"/>
        <v>131.18883237522274</v>
      </c>
      <c r="M171" s="39">
        <v>120</v>
      </c>
      <c r="N171" s="22">
        <v>12</v>
      </c>
      <c r="O171" s="22">
        <v>4</v>
      </c>
      <c r="P171" s="22">
        <v>800</v>
      </c>
      <c r="Q171" s="22">
        <v>80</v>
      </c>
      <c r="R171" s="49">
        <f t="shared" si="151"/>
        <v>1.6241338582677165</v>
      </c>
      <c r="S171" s="50">
        <f t="shared" si="152"/>
        <v>331660438.59263486</v>
      </c>
      <c r="T171" s="39">
        <v>21.5</v>
      </c>
      <c r="U171" s="54">
        <f t="shared" si="153"/>
        <v>1.098771321020616</v>
      </c>
      <c r="V171" s="54">
        <f t="shared" si="154"/>
        <v>15.25315443766586</v>
      </c>
      <c r="W171" s="54">
        <f t="shared" si="155"/>
        <v>0.07203567796490215</v>
      </c>
      <c r="X171" s="55">
        <f t="shared" si="156"/>
        <v>135.29148282578262</v>
      </c>
      <c r="Y171" s="42">
        <v>21</v>
      </c>
      <c r="Z171" s="43">
        <v>1</v>
      </c>
      <c r="AA171" s="43">
        <v>3</v>
      </c>
      <c r="AB171" s="158">
        <f t="shared" si="148"/>
        <v>0.9235691949676388</v>
      </c>
      <c r="AC171" s="59">
        <f t="shared" si="147"/>
        <v>7.0685775</v>
      </c>
      <c r="AD171" s="59">
        <f t="shared" si="157"/>
        <v>2.679713620076611</v>
      </c>
      <c r="AE171" s="60">
        <f t="shared" si="158"/>
        <v>0.6601819939632256</v>
      </c>
      <c r="AF171" s="61">
        <f t="shared" si="159"/>
        <v>3.527256433688262</v>
      </c>
      <c r="AG171" s="62">
        <f t="shared" si="160"/>
        <v>0.30780296823067727</v>
      </c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</row>
    <row r="172" spans="1:65" s="22" customFormat="1" ht="12.75">
      <c r="A172" s="38" t="s">
        <v>71</v>
      </c>
      <c r="B172" s="39">
        <v>24</v>
      </c>
      <c r="C172" s="39">
        <v>85</v>
      </c>
      <c r="D172" s="39">
        <v>15</v>
      </c>
      <c r="E172" s="39">
        <v>80</v>
      </c>
      <c r="F172" s="39">
        <v>7.5</v>
      </c>
      <c r="G172" s="39">
        <v>-25</v>
      </c>
      <c r="H172" s="49">
        <f t="shared" si="150"/>
        <v>28.308766233290488</v>
      </c>
      <c r="I172" s="40">
        <v>2</v>
      </c>
      <c r="J172" s="41">
        <v>1</v>
      </c>
      <c r="K172" s="22">
        <v>600</v>
      </c>
      <c r="L172" s="46">
        <f t="shared" si="161"/>
        <v>131.18883237522274</v>
      </c>
      <c r="M172" s="39">
        <v>120</v>
      </c>
      <c r="N172" s="22">
        <v>12</v>
      </c>
      <c r="O172" s="22">
        <v>4</v>
      </c>
      <c r="P172" s="22">
        <v>800</v>
      </c>
      <c r="Q172" s="22">
        <v>80</v>
      </c>
      <c r="R172" s="49">
        <f t="shared" si="151"/>
        <v>1.6241338582677165</v>
      </c>
      <c r="S172" s="50">
        <f t="shared" si="152"/>
        <v>331660438.59263486</v>
      </c>
      <c r="T172" s="39">
        <v>21.5</v>
      </c>
      <c r="U172" s="54">
        <f t="shared" si="153"/>
        <v>1.098771321020616</v>
      </c>
      <c r="V172" s="54">
        <f t="shared" si="154"/>
        <v>15.25315443766586</v>
      </c>
      <c r="W172" s="54">
        <f t="shared" si="155"/>
        <v>0.07203567796490215</v>
      </c>
      <c r="X172" s="55">
        <f t="shared" si="156"/>
        <v>135.29148282578262</v>
      </c>
      <c r="Y172" s="42">
        <v>22</v>
      </c>
      <c r="Z172" s="43">
        <v>1</v>
      </c>
      <c r="AA172" s="43">
        <v>3</v>
      </c>
      <c r="AB172" s="158">
        <f t="shared" si="148"/>
        <v>0.9235691949676388</v>
      </c>
      <c r="AC172" s="59">
        <f t="shared" si="147"/>
        <v>7.0685775</v>
      </c>
      <c r="AD172" s="59">
        <f t="shared" si="157"/>
        <v>2.679713620076611</v>
      </c>
      <c r="AE172" s="60">
        <f t="shared" si="158"/>
        <v>0.2628231856670658</v>
      </c>
      <c r="AF172" s="61">
        <f t="shared" si="159"/>
        <v>1.4109102513486689</v>
      </c>
      <c r="AG172" s="62">
        <f t="shared" si="160"/>
        <v>0.7695032330810518</v>
      </c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</row>
    <row r="173" spans="1:65" s="22" customFormat="1" ht="12.75">
      <c r="A173" s="38" t="s">
        <v>71</v>
      </c>
      <c r="B173" s="39">
        <v>24</v>
      </c>
      <c r="C173" s="39">
        <v>85</v>
      </c>
      <c r="D173" s="39">
        <v>15</v>
      </c>
      <c r="E173" s="39">
        <v>80</v>
      </c>
      <c r="F173" s="39">
        <v>7.5</v>
      </c>
      <c r="G173" s="39">
        <v>-25</v>
      </c>
      <c r="H173" s="49">
        <f t="shared" si="150"/>
        <v>28.308766233290488</v>
      </c>
      <c r="I173" s="40">
        <v>2</v>
      </c>
      <c r="J173" s="41">
        <v>1</v>
      </c>
      <c r="K173" s="22">
        <v>600</v>
      </c>
      <c r="L173" s="46">
        <f t="shared" si="161"/>
        <v>131.18883237522274</v>
      </c>
      <c r="M173" s="39">
        <v>120</v>
      </c>
      <c r="N173" s="22">
        <v>12</v>
      </c>
      <c r="O173" s="22">
        <v>4</v>
      </c>
      <c r="P173" s="22">
        <v>800</v>
      </c>
      <c r="Q173" s="22">
        <v>80</v>
      </c>
      <c r="R173" s="49">
        <f t="shared" si="151"/>
        <v>1.6241338582677165</v>
      </c>
      <c r="S173" s="50">
        <f t="shared" si="152"/>
        <v>331660438.59263486</v>
      </c>
      <c r="T173" s="39">
        <v>21.5</v>
      </c>
      <c r="U173" s="54">
        <f t="shared" si="153"/>
        <v>1.098771321020616</v>
      </c>
      <c r="V173" s="54">
        <f t="shared" si="154"/>
        <v>15.25315443766586</v>
      </c>
      <c r="W173" s="54">
        <f t="shared" si="155"/>
        <v>0.07203567796490215</v>
      </c>
      <c r="X173" s="55">
        <f t="shared" si="156"/>
        <v>135.29148282578262</v>
      </c>
      <c r="Y173" s="42">
        <v>14</v>
      </c>
      <c r="Z173" s="43">
        <v>2</v>
      </c>
      <c r="AA173" s="43">
        <v>3</v>
      </c>
      <c r="AB173" s="158">
        <f t="shared" si="148"/>
        <v>1.8471383899352776</v>
      </c>
      <c r="AC173" s="59">
        <f t="shared" si="147"/>
        <v>28.27431</v>
      </c>
      <c r="AD173" s="59">
        <f t="shared" si="157"/>
        <v>10.718854480306444</v>
      </c>
      <c r="AE173" s="60">
        <f t="shared" si="158"/>
        <v>416.5466777846765</v>
      </c>
      <c r="AF173" s="61">
        <f t="shared" si="159"/>
        <v>598.0978915742551</v>
      </c>
      <c r="AG173" s="62">
        <f t="shared" si="160"/>
        <v>0.001815254685386578</v>
      </c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</row>
    <row r="174" spans="1:65" s="22" customFormat="1" ht="12.75">
      <c r="A174" s="38" t="s">
        <v>71</v>
      </c>
      <c r="B174" s="39">
        <v>24</v>
      </c>
      <c r="C174" s="39">
        <v>85</v>
      </c>
      <c r="D174" s="39">
        <v>15</v>
      </c>
      <c r="E174" s="39">
        <v>80</v>
      </c>
      <c r="F174" s="39">
        <v>7.5</v>
      </c>
      <c r="G174" s="39">
        <v>-25</v>
      </c>
      <c r="H174" s="49">
        <f aca="true" t="shared" si="162" ref="H174:H189">B174*B174*(E174/16.022)*EXP(0.69315*(G174-25)/F174)</f>
        <v>28.308766233290488</v>
      </c>
      <c r="I174" s="40">
        <v>2</v>
      </c>
      <c r="J174" s="41">
        <v>1</v>
      </c>
      <c r="K174" s="22">
        <v>600</v>
      </c>
      <c r="L174" s="46">
        <f t="shared" si="161"/>
        <v>131.18883237522274</v>
      </c>
      <c r="M174" s="39">
        <v>120</v>
      </c>
      <c r="N174" s="22">
        <v>12</v>
      </c>
      <c r="O174" s="22">
        <v>4</v>
      </c>
      <c r="P174" s="22">
        <v>800</v>
      </c>
      <c r="Q174" s="22">
        <v>80</v>
      </c>
      <c r="R174" s="49">
        <f aca="true" t="shared" si="163" ref="R174:R189">B174*J174/((25.4*M174/206265)*1000)</f>
        <v>1.6241338582677165</v>
      </c>
      <c r="S174" s="50">
        <f aca="true" t="shared" si="164" ref="S174:S189">940*P174*Q174/100*C174/100*3.14159*(N174*N174-O174*O174)/4*2.54*2.54</f>
        <v>331660438.59263486</v>
      </c>
      <c r="T174" s="39">
        <v>21.5</v>
      </c>
      <c r="U174" s="54">
        <f aca="true" t="shared" si="165" ref="U174:U189">(S174*(EXP(-0.4*LN(10)*T174))*R174*R174)/I174</f>
        <v>1.098771321020616</v>
      </c>
      <c r="V174" s="54">
        <f aca="true" t="shared" si="166" ref="V174:V189">(S174*(EXP(-0.4*LN(10)*T174))*R174*R174+(J174*J174*H174))/I174</f>
        <v>15.25315443766586</v>
      </c>
      <c r="W174" s="54">
        <f aca="true" t="shared" si="167" ref="W174:W189">U174/V174</f>
        <v>0.07203567796490215</v>
      </c>
      <c r="X174" s="55">
        <f aca="true" t="shared" si="168" ref="X174:X189">SQRT(V174*K174*I174)</f>
        <v>135.29148282578262</v>
      </c>
      <c r="Y174" s="42">
        <v>15</v>
      </c>
      <c r="Z174" s="43">
        <v>2</v>
      </c>
      <c r="AA174" s="43">
        <v>3</v>
      </c>
      <c r="AB174" s="158">
        <f t="shared" si="148"/>
        <v>1.8471383899352776</v>
      </c>
      <c r="AC174" s="59">
        <f t="shared" si="147"/>
        <v>28.27431</v>
      </c>
      <c r="AD174" s="59">
        <f aca="true" t="shared" si="169" ref="AD174:AD189">AC174/(R174*R174)</f>
        <v>10.718854480306444</v>
      </c>
      <c r="AE174" s="60">
        <f aca="true" t="shared" si="170" ref="AE174:AE189">S174*EXP(-0.4*LN(10)*Y174)/I174</f>
        <v>165.83021929631693</v>
      </c>
      <c r="AF174" s="61">
        <f aca="true" t="shared" si="171" ref="AF174:AF189">SQRT((AE174*K174*I174)/(1+(MAX(1,AD174))*(V174*I174*K174+(I174*I174-1)/12+D174*D174)/(AE174*K174*I174)))</f>
        <v>315.5864110407696</v>
      </c>
      <c r="AG174" s="62">
        <f aca="true" t="shared" si="172" ref="AG174:AG189">1.0857/AF174</f>
        <v>0.003440262197663961</v>
      </c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</row>
    <row r="175" spans="1:65" s="22" customFormat="1" ht="12.75">
      <c r="A175" s="38" t="s">
        <v>71</v>
      </c>
      <c r="B175" s="39">
        <v>24</v>
      </c>
      <c r="C175" s="39">
        <v>85</v>
      </c>
      <c r="D175" s="39">
        <v>15</v>
      </c>
      <c r="E175" s="39">
        <v>80</v>
      </c>
      <c r="F175" s="39">
        <v>7.5</v>
      </c>
      <c r="G175" s="39">
        <v>-25</v>
      </c>
      <c r="H175" s="49">
        <f t="shared" si="162"/>
        <v>28.308766233290488</v>
      </c>
      <c r="I175" s="40">
        <v>2</v>
      </c>
      <c r="J175" s="41">
        <v>1</v>
      </c>
      <c r="K175" s="22">
        <v>600</v>
      </c>
      <c r="L175" s="46">
        <f t="shared" si="161"/>
        <v>131.18883237522274</v>
      </c>
      <c r="M175" s="39">
        <v>120</v>
      </c>
      <c r="N175" s="22">
        <v>12</v>
      </c>
      <c r="O175" s="22">
        <v>4</v>
      </c>
      <c r="P175" s="22">
        <v>800</v>
      </c>
      <c r="Q175" s="22">
        <v>80</v>
      </c>
      <c r="R175" s="49">
        <f t="shared" si="163"/>
        <v>1.6241338582677165</v>
      </c>
      <c r="S175" s="50">
        <f t="shared" si="164"/>
        <v>331660438.59263486</v>
      </c>
      <c r="T175" s="39">
        <v>21.5</v>
      </c>
      <c r="U175" s="54">
        <f t="shared" si="165"/>
        <v>1.098771321020616</v>
      </c>
      <c r="V175" s="54">
        <f t="shared" si="166"/>
        <v>15.25315443766586</v>
      </c>
      <c r="W175" s="54">
        <f t="shared" si="167"/>
        <v>0.07203567796490215</v>
      </c>
      <c r="X175" s="55">
        <f t="shared" si="168"/>
        <v>135.29148282578262</v>
      </c>
      <c r="Y175" s="42">
        <v>16</v>
      </c>
      <c r="Z175" s="43">
        <v>2</v>
      </c>
      <c r="AA175" s="43">
        <v>3</v>
      </c>
      <c r="AB175" s="158">
        <f t="shared" si="148"/>
        <v>1.8471383899352776</v>
      </c>
      <c r="AC175" s="59">
        <f t="shared" si="147"/>
        <v>28.27431</v>
      </c>
      <c r="AD175" s="59">
        <f t="shared" si="169"/>
        <v>10.718854480306444</v>
      </c>
      <c r="AE175" s="60">
        <f t="shared" si="170"/>
        <v>66.0181993963227</v>
      </c>
      <c r="AF175" s="61">
        <f t="shared" si="171"/>
        <v>150.29823759756545</v>
      </c>
      <c r="AG175" s="62">
        <f t="shared" si="172"/>
        <v>0.007223637597847564</v>
      </c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</row>
    <row r="176" spans="1:65" s="22" customFormat="1" ht="12.75">
      <c r="A176" s="38" t="s">
        <v>71</v>
      </c>
      <c r="B176" s="39">
        <v>24</v>
      </c>
      <c r="C176" s="39">
        <v>85</v>
      </c>
      <c r="D176" s="39">
        <v>15</v>
      </c>
      <c r="E176" s="39">
        <v>80</v>
      </c>
      <c r="F176" s="39">
        <v>7.5</v>
      </c>
      <c r="G176" s="39">
        <v>-25</v>
      </c>
      <c r="H176" s="49">
        <f t="shared" si="162"/>
        <v>28.308766233290488</v>
      </c>
      <c r="I176" s="40">
        <v>2</v>
      </c>
      <c r="J176" s="41">
        <v>1</v>
      </c>
      <c r="K176" s="22">
        <v>600</v>
      </c>
      <c r="L176" s="46">
        <f t="shared" si="161"/>
        <v>131.18883237522274</v>
      </c>
      <c r="M176" s="39">
        <v>120</v>
      </c>
      <c r="N176" s="22">
        <v>12</v>
      </c>
      <c r="O176" s="22">
        <v>4</v>
      </c>
      <c r="P176" s="22">
        <v>800</v>
      </c>
      <c r="Q176" s="22">
        <v>80</v>
      </c>
      <c r="R176" s="49">
        <f t="shared" si="163"/>
        <v>1.6241338582677165</v>
      </c>
      <c r="S176" s="50">
        <f t="shared" si="164"/>
        <v>331660438.59263486</v>
      </c>
      <c r="T176" s="39">
        <v>21.5</v>
      </c>
      <c r="U176" s="54">
        <f t="shared" si="165"/>
        <v>1.098771321020616</v>
      </c>
      <c r="V176" s="54">
        <f t="shared" si="166"/>
        <v>15.25315443766586</v>
      </c>
      <c r="W176" s="54">
        <f t="shared" si="167"/>
        <v>0.07203567796490215</v>
      </c>
      <c r="X176" s="55">
        <f t="shared" si="168"/>
        <v>135.29148282578262</v>
      </c>
      <c r="Y176" s="42">
        <v>17</v>
      </c>
      <c r="Z176" s="43">
        <v>2</v>
      </c>
      <c r="AA176" s="43">
        <v>3</v>
      </c>
      <c r="AB176" s="158">
        <f t="shared" si="148"/>
        <v>1.8471383899352776</v>
      </c>
      <c r="AC176" s="59">
        <f t="shared" si="147"/>
        <v>28.27431</v>
      </c>
      <c r="AD176" s="59">
        <f t="shared" si="169"/>
        <v>10.718854480306444</v>
      </c>
      <c r="AE176" s="60">
        <f t="shared" si="170"/>
        <v>26.282318566706643</v>
      </c>
      <c r="AF176" s="61">
        <f t="shared" si="171"/>
        <v>65.74164229075721</v>
      </c>
      <c r="AG176" s="62">
        <f t="shared" si="172"/>
        <v>0.0165146467622188</v>
      </c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</row>
    <row r="177" spans="1:65" s="22" customFormat="1" ht="12.75">
      <c r="A177" s="38" t="s">
        <v>71</v>
      </c>
      <c r="B177" s="39">
        <v>24</v>
      </c>
      <c r="C177" s="39">
        <v>85</v>
      </c>
      <c r="D177" s="39">
        <v>15</v>
      </c>
      <c r="E177" s="39">
        <v>80</v>
      </c>
      <c r="F177" s="39">
        <v>7.5</v>
      </c>
      <c r="G177" s="39">
        <v>-25</v>
      </c>
      <c r="H177" s="49">
        <f t="shared" si="162"/>
        <v>28.308766233290488</v>
      </c>
      <c r="I177" s="40">
        <v>2</v>
      </c>
      <c r="J177" s="41">
        <v>1</v>
      </c>
      <c r="K177" s="22">
        <v>600</v>
      </c>
      <c r="L177" s="46">
        <f t="shared" si="161"/>
        <v>131.18883237522274</v>
      </c>
      <c r="M177" s="39">
        <v>120</v>
      </c>
      <c r="N177" s="22">
        <v>12</v>
      </c>
      <c r="O177" s="22">
        <v>4</v>
      </c>
      <c r="P177" s="22">
        <v>800</v>
      </c>
      <c r="Q177" s="22">
        <v>80</v>
      </c>
      <c r="R177" s="49">
        <f t="shared" si="163"/>
        <v>1.6241338582677165</v>
      </c>
      <c r="S177" s="50">
        <f t="shared" si="164"/>
        <v>331660438.59263486</v>
      </c>
      <c r="T177" s="39">
        <v>21.5</v>
      </c>
      <c r="U177" s="54">
        <f t="shared" si="165"/>
        <v>1.098771321020616</v>
      </c>
      <c r="V177" s="54">
        <f t="shared" si="166"/>
        <v>15.25315443766586</v>
      </c>
      <c r="W177" s="54">
        <f t="shared" si="167"/>
        <v>0.07203567796490215</v>
      </c>
      <c r="X177" s="55">
        <f t="shared" si="168"/>
        <v>135.29148282578262</v>
      </c>
      <c r="Y177" s="42">
        <v>18</v>
      </c>
      <c r="Z177" s="43">
        <v>2</v>
      </c>
      <c r="AA177" s="43">
        <v>3</v>
      </c>
      <c r="AB177" s="158">
        <f t="shared" si="148"/>
        <v>1.8471383899352776</v>
      </c>
      <c r="AC177" s="59">
        <f t="shared" si="147"/>
        <v>28.27431</v>
      </c>
      <c r="AD177" s="59">
        <f t="shared" si="169"/>
        <v>10.718854480306444</v>
      </c>
      <c r="AE177" s="60">
        <f t="shared" si="170"/>
        <v>10.46317948017723</v>
      </c>
      <c r="AF177" s="61">
        <f t="shared" si="171"/>
        <v>27.323295561680613</v>
      </c>
      <c r="AG177" s="62">
        <f t="shared" si="172"/>
        <v>0.03973532393078649</v>
      </c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</row>
    <row r="178" spans="1:65" s="22" customFormat="1" ht="12.75">
      <c r="A178" s="38" t="s">
        <v>71</v>
      </c>
      <c r="B178" s="39">
        <v>24</v>
      </c>
      <c r="C178" s="39">
        <v>85</v>
      </c>
      <c r="D178" s="39">
        <v>15</v>
      </c>
      <c r="E178" s="39">
        <v>80</v>
      </c>
      <c r="F178" s="39">
        <v>7.5</v>
      </c>
      <c r="G178" s="39">
        <v>-25</v>
      </c>
      <c r="H178" s="49">
        <f t="shared" si="162"/>
        <v>28.308766233290488</v>
      </c>
      <c r="I178" s="40">
        <v>2</v>
      </c>
      <c r="J178" s="41">
        <v>1</v>
      </c>
      <c r="K178" s="22">
        <v>600</v>
      </c>
      <c r="L178" s="46">
        <f aca="true" t="shared" si="173" ref="L178:L190">SQRT(K178*H178*J178*J178+D178*D178+(I178*I178-1)/12)</f>
        <v>131.18883237522274</v>
      </c>
      <c r="M178" s="39">
        <v>120</v>
      </c>
      <c r="N178" s="22">
        <v>12</v>
      </c>
      <c r="O178" s="22">
        <v>4</v>
      </c>
      <c r="P178" s="22">
        <v>800</v>
      </c>
      <c r="Q178" s="22">
        <v>80</v>
      </c>
      <c r="R178" s="49">
        <f t="shared" si="163"/>
        <v>1.6241338582677165</v>
      </c>
      <c r="S178" s="50">
        <f t="shared" si="164"/>
        <v>331660438.59263486</v>
      </c>
      <c r="T178" s="39">
        <v>21.5</v>
      </c>
      <c r="U178" s="54">
        <f t="shared" si="165"/>
        <v>1.098771321020616</v>
      </c>
      <c r="V178" s="54">
        <f t="shared" si="166"/>
        <v>15.25315443766586</v>
      </c>
      <c r="W178" s="54">
        <f t="shared" si="167"/>
        <v>0.07203567796490215</v>
      </c>
      <c r="X178" s="55">
        <f t="shared" si="168"/>
        <v>135.29148282578262</v>
      </c>
      <c r="Y178" s="42">
        <v>19</v>
      </c>
      <c r="Z178" s="43">
        <v>2</v>
      </c>
      <c r="AA178" s="43">
        <v>3</v>
      </c>
      <c r="AB178" s="158">
        <f t="shared" si="148"/>
        <v>1.8471383899352776</v>
      </c>
      <c r="AC178" s="59">
        <f t="shared" si="147"/>
        <v>28.27431</v>
      </c>
      <c r="AD178" s="59">
        <f t="shared" si="169"/>
        <v>10.718854480306444</v>
      </c>
      <c r="AE178" s="60">
        <f t="shared" si="170"/>
        <v>4.16546677784677</v>
      </c>
      <c r="AF178" s="61">
        <f t="shared" si="171"/>
        <v>11.077630354223242</v>
      </c>
      <c r="AG178" s="62">
        <f t="shared" si="172"/>
        <v>0.09800832536229982</v>
      </c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</row>
    <row r="179" spans="1:65" s="22" customFormat="1" ht="12.75">
      <c r="A179" s="38" t="s">
        <v>71</v>
      </c>
      <c r="B179" s="39">
        <v>24</v>
      </c>
      <c r="C179" s="39">
        <v>85</v>
      </c>
      <c r="D179" s="39">
        <v>15</v>
      </c>
      <c r="E179" s="39">
        <v>80</v>
      </c>
      <c r="F179" s="39">
        <v>7.5</v>
      </c>
      <c r="G179" s="39">
        <v>-25</v>
      </c>
      <c r="H179" s="49">
        <f t="shared" si="162"/>
        <v>28.308766233290488</v>
      </c>
      <c r="I179" s="40">
        <v>2</v>
      </c>
      <c r="J179" s="41">
        <v>1</v>
      </c>
      <c r="K179" s="22">
        <v>600</v>
      </c>
      <c r="L179" s="46">
        <f t="shared" si="173"/>
        <v>131.18883237522274</v>
      </c>
      <c r="M179" s="39">
        <v>120</v>
      </c>
      <c r="N179" s="22">
        <v>12</v>
      </c>
      <c r="O179" s="22">
        <v>4</v>
      </c>
      <c r="P179" s="22">
        <v>800</v>
      </c>
      <c r="Q179" s="22">
        <v>80</v>
      </c>
      <c r="R179" s="49">
        <f t="shared" si="163"/>
        <v>1.6241338582677165</v>
      </c>
      <c r="S179" s="50">
        <f t="shared" si="164"/>
        <v>331660438.59263486</v>
      </c>
      <c r="T179" s="39">
        <v>21.5</v>
      </c>
      <c r="U179" s="54">
        <f t="shared" si="165"/>
        <v>1.098771321020616</v>
      </c>
      <c r="V179" s="54">
        <f t="shared" si="166"/>
        <v>15.25315443766586</v>
      </c>
      <c r="W179" s="54">
        <f t="shared" si="167"/>
        <v>0.07203567796490215</v>
      </c>
      <c r="X179" s="55">
        <f t="shared" si="168"/>
        <v>135.29148282578262</v>
      </c>
      <c r="Y179" s="42">
        <v>20</v>
      </c>
      <c r="Z179" s="43">
        <v>2</v>
      </c>
      <c r="AA179" s="43">
        <v>3</v>
      </c>
      <c r="AB179" s="158">
        <f t="shared" si="148"/>
        <v>1.8471383899352776</v>
      </c>
      <c r="AC179" s="59">
        <f t="shared" si="147"/>
        <v>28.27431</v>
      </c>
      <c r="AD179" s="59">
        <f t="shared" si="169"/>
        <v>10.718854480306444</v>
      </c>
      <c r="AE179" s="60">
        <f t="shared" si="170"/>
        <v>1.6583021929631714</v>
      </c>
      <c r="AF179" s="61">
        <f t="shared" si="171"/>
        <v>4.443032204462086</v>
      </c>
      <c r="AG179" s="62">
        <f t="shared" si="172"/>
        <v>0.2443601464129934</v>
      </c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</row>
    <row r="180" spans="1:65" s="22" customFormat="1" ht="12.75">
      <c r="A180" s="38" t="s">
        <v>71</v>
      </c>
      <c r="B180" s="39">
        <v>24</v>
      </c>
      <c r="C180" s="39">
        <v>85</v>
      </c>
      <c r="D180" s="39">
        <v>15</v>
      </c>
      <c r="E180" s="39">
        <v>80</v>
      </c>
      <c r="F180" s="39">
        <v>7.5</v>
      </c>
      <c r="G180" s="39">
        <v>-25</v>
      </c>
      <c r="H180" s="49">
        <f t="shared" si="162"/>
        <v>28.308766233290488</v>
      </c>
      <c r="I180" s="40">
        <v>2</v>
      </c>
      <c r="J180" s="41">
        <v>1</v>
      </c>
      <c r="K180" s="22">
        <v>600</v>
      </c>
      <c r="L180" s="46">
        <f t="shared" si="173"/>
        <v>131.18883237522274</v>
      </c>
      <c r="M180" s="39">
        <v>120</v>
      </c>
      <c r="N180" s="22">
        <v>12</v>
      </c>
      <c r="O180" s="22">
        <v>4</v>
      </c>
      <c r="P180" s="22">
        <v>800</v>
      </c>
      <c r="Q180" s="22">
        <v>80</v>
      </c>
      <c r="R180" s="49">
        <f t="shared" si="163"/>
        <v>1.6241338582677165</v>
      </c>
      <c r="S180" s="50">
        <f t="shared" si="164"/>
        <v>331660438.59263486</v>
      </c>
      <c r="T180" s="39">
        <v>21.5</v>
      </c>
      <c r="U180" s="54">
        <f t="shared" si="165"/>
        <v>1.098771321020616</v>
      </c>
      <c r="V180" s="54">
        <f t="shared" si="166"/>
        <v>15.25315443766586</v>
      </c>
      <c r="W180" s="54">
        <f t="shared" si="167"/>
        <v>0.07203567796490215</v>
      </c>
      <c r="X180" s="55">
        <f t="shared" si="168"/>
        <v>135.29148282578262</v>
      </c>
      <c r="Y180" s="42">
        <v>21</v>
      </c>
      <c r="Z180" s="43">
        <v>2</v>
      </c>
      <c r="AA180" s="43">
        <v>3</v>
      </c>
      <c r="AB180" s="158">
        <f t="shared" si="148"/>
        <v>1.8471383899352776</v>
      </c>
      <c r="AC180" s="59">
        <f t="shared" si="147"/>
        <v>28.27431</v>
      </c>
      <c r="AD180" s="59">
        <f t="shared" si="169"/>
        <v>10.718854480306444</v>
      </c>
      <c r="AE180" s="60">
        <f t="shared" si="170"/>
        <v>0.6601819939632256</v>
      </c>
      <c r="AF180" s="61">
        <f t="shared" si="171"/>
        <v>1.774107337206262</v>
      </c>
      <c r="AG180" s="62">
        <f t="shared" si="172"/>
        <v>0.6119697366844123</v>
      </c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</row>
    <row r="181" spans="1:65" s="22" customFormat="1" ht="12.75">
      <c r="A181" s="38" t="s">
        <v>71</v>
      </c>
      <c r="B181" s="39">
        <v>24</v>
      </c>
      <c r="C181" s="39">
        <v>85</v>
      </c>
      <c r="D181" s="39">
        <v>15</v>
      </c>
      <c r="E181" s="39">
        <v>80</v>
      </c>
      <c r="F181" s="39">
        <v>7.5</v>
      </c>
      <c r="G181" s="39">
        <v>-25</v>
      </c>
      <c r="H181" s="49">
        <f t="shared" si="162"/>
        <v>28.308766233290488</v>
      </c>
      <c r="I181" s="40">
        <v>2</v>
      </c>
      <c r="J181" s="41">
        <v>1</v>
      </c>
      <c r="K181" s="22">
        <v>600</v>
      </c>
      <c r="L181" s="46">
        <f t="shared" si="173"/>
        <v>131.18883237522274</v>
      </c>
      <c r="M181" s="39">
        <v>120</v>
      </c>
      <c r="N181" s="22">
        <v>12</v>
      </c>
      <c r="O181" s="22">
        <v>4</v>
      </c>
      <c r="P181" s="22">
        <v>800</v>
      </c>
      <c r="Q181" s="22">
        <v>80</v>
      </c>
      <c r="R181" s="49">
        <f t="shared" si="163"/>
        <v>1.6241338582677165</v>
      </c>
      <c r="S181" s="50">
        <f t="shared" si="164"/>
        <v>331660438.59263486</v>
      </c>
      <c r="T181" s="39">
        <v>21.5</v>
      </c>
      <c r="U181" s="54">
        <f t="shared" si="165"/>
        <v>1.098771321020616</v>
      </c>
      <c r="V181" s="54">
        <f t="shared" si="166"/>
        <v>15.25315443766586</v>
      </c>
      <c r="W181" s="54">
        <f t="shared" si="167"/>
        <v>0.07203567796490215</v>
      </c>
      <c r="X181" s="55">
        <f t="shared" si="168"/>
        <v>135.29148282578262</v>
      </c>
      <c r="Y181" s="42">
        <v>22</v>
      </c>
      <c r="Z181" s="43">
        <v>2</v>
      </c>
      <c r="AA181" s="43">
        <v>3</v>
      </c>
      <c r="AB181" s="158">
        <f t="shared" si="148"/>
        <v>1.8471383899352776</v>
      </c>
      <c r="AC181" s="59">
        <f t="shared" si="147"/>
        <v>28.27431</v>
      </c>
      <c r="AD181" s="59">
        <f t="shared" si="169"/>
        <v>10.718854480306444</v>
      </c>
      <c r="AE181" s="60">
        <f t="shared" si="170"/>
        <v>0.2628231856670658</v>
      </c>
      <c r="AF181" s="61">
        <f t="shared" si="171"/>
        <v>0.7071308392549316</v>
      </c>
      <c r="AG181" s="62">
        <f t="shared" si="172"/>
        <v>1.5353594267560837</v>
      </c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</row>
    <row r="182" spans="1:65" s="22" customFormat="1" ht="12.75">
      <c r="A182" s="38" t="s">
        <v>71</v>
      </c>
      <c r="B182" s="39">
        <v>24</v>
      </c>
      <c r="C182" s="39">
        <v>85</v>
      </c>
      <c r="D182" s="39">
        <v>15</v>
      </c>
      <c r="E182" s="39">
        <v>80</v>
      </c>
      <c r="F182" s="39">
        <v>7.5</v>
      </c>
      <c r="G182" s="39">
        <v>-25</v>
      </c>
      <c r="H182" s="49">
        <f t="shared" si="162"/>
        <v>28.308766233290488</v>
      </c>
      <c r="I182" s="40">
        <v>2</v>
      </c>
      <c r="J182" s="41">
        <v>1</v>
      </c>
      <c r="K182" s="22">
        <v>600</v>
      </c>
      <c r="L182" s="46">
        <f t="shared" si="173"/>
        <v>131.18883237522274</v>
      </c>
      <c r="M182" s="39">
        <v>120</v>
      </c>
      <c r="N182" s="22">
        <v>12</v>
      </c>
      <c r="O182" s="22">
        <v>4</v>
      </c>
      <c r="P182" s="22">
        <v>800</v>
      </c>
      <c r="Q182" s="22">
        <v>80</v>
      </c>
      <c r="R182" s="49">
        <f t="shared" si="163"/>
        <v>1.6241338582677165</v>
      </c>
      <c r="S182" s="50">
        <f t="shared" si="164"/>
        <v>331660438.59263486</v>
      </c>
      <c r="T182" s="39">
        <v>21.5</v>
      </c>
      <c r="U182" s="54">
        <f t="shared" si="165"/>
        <v>1.098771321020616</v>
      </c>
      <c r="V182" s="54">
        <f t="shared" si="166"/>
        <v>15.25315443766586</v>
      </c>
      <c r="W182" s="54">
        <f t="shared" si="167"/>
        <v>0.07203567796490215</v>
      </c>
      <c r="X182" s="55">
        <f t="shared" si="168"/>
        <v>135.29148282578262</v>
      </c>
      <c r="Y182" s="42">
        <v>14</v>
      </c>
      <c r="Z182" s="43">
        <v>4</v>
      </c>
      <c r="AA182" s="43">
        <v>3</v>
      </c>
      <c r="AB182" s="158">
        <f t="shared" si="148"/>
        <v>3.694276779870555</v>
      </c>
      <c r="AC182" s="59">
        <f t="shared" si="147"/>
        <v>113.09724</v>
      </c>
      <c r="AD182" s="59">
        <f t="shared" si="169"/>
        <v>42.875417921225775</v>
      </c>
      <c r="AE182" s="60">
        <f t="shared" si="170"/>
        <v>416.5466777846765</v>
      </c>
      <c r="AF182" s="61">
        <f t="shared" si="171"/>
        <v>439.3676648917062</v>
      </c>
      <c r="AG182" s="62">
        <f t="shared" si="172"/>
        <v>0.0024710512100784648</v>
      </c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</row>
    <row r="183" spans="1:65" s="22" customFormat="1" ht="12.75">
      <c r="A183" s="38" t="s">
        <v>71</v>
      </c>
      <c r="B183" s="39">
        <v>24</v>
      </c>
      <c r="C183" s="39">
        <v>85</v>
      </c>
      <c r="D183" s="39">
        <v>15</v>
      </c>
      <c r="E183" s="39">
        <v>80</v>
      </c>
      <c r="F183" s="39">
        <v>7.5</v>
      </c>
      <c r="G183" s="39">
        <v>-25</v>
      </c>
      <c r="H183" s="49">
        <f t="shared" si="162"/>
        <v>28.308766233290488</v>
      </c>
      <c r="I183" s="40">
        <v>2</v>
      </c>
      <c r="J183" s="41">
        <v>1</v>
      </c>
      <c r="K183" s="22">
        <v>600</v>
      </c>
      <c r="L183" s="46">
        <f t="shared" si="173"/>
        <v>131.18883237522274</v>
      </c>
      <c r="M183" s="39">
        <v>120</v>
      </c>
      <c r="N183" s="22">
        <v>12</v>
      </c>
      <c r="O183" s="22">
        <v>4</v>
      </c>
      <c r="P183" s="22">
        <v>800</v>
      </c>
      <c r="Q183" s="22">
        <v>80</v>
      </c>
      <c r="R183" s="49">
        <f t="shared" si="163"/>
        <v>1.6241338582677165</v>
      </c>
      <c r="S183" s="50">
        <f t="shared" si="164"/>
        <v>331660438.59263486</v>
      </c>
      <c r="T183" s="39">
        <v>21.5</v>
      </c>
      <c r="U183" s="54">
        <f t="shared" si="165"/>
        <v>1.098771321020616</v>
      </c>
      <c r="V183" s="54">
        <f t="shared" si="166"/>
        <v>15.25315443766586</v>
      </c>
      <c r="W183" s="54">
        <f t="shared" si="167"/>
        <v>0.07203567796490215</v>
      </c>
      <c r="X183" s="55">
        <f t="shared" si="168"/>
        <v>135.29148282578262</v>
      </c>
      <c r="Y183" s="42">
        <v>15</v>
      </c>
      <c r="Z183" s="43">
        <v>4</v>
      </c>
      <c r="AA183" s="43">
        <v>3</v>
      </c>
      <c r="AB183" s="158">
        <f t="shared" si="148"/>
        <v>3.694276779870555</v>
      </c>
      <c r="AC183" s="59">
        <f t="shared" si="147"/>
        <v>113.09724</v>
      </c>
      <c r="AD183" s="59">
        <f t="shared" si="169"/>
        <v>42.875417921225775</v>
      </c>
      <c r="AE183" s="60">
        <f t="shared" si="170"/>
        <v>165.83021929631693</v>
      </c>
      <c r="AF183" s="61">
        <f t="shared" si="171"/>
        <v>199.6525619871076</v>
      </c>
      <c r="AG183" s="62">
        <f t="shared" si="172"/>
        <v>0.005437946747060067</v>
      </c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</row>
    <row r="184" spans="1:65" s="22" customFormat="1" ht="12.75">
      <c r="A184" s="38" t="s">
        <v>71</v>
      </c>
      <c r="B184" s="39">
        <v>24</v>
      </c>
      <c r="C184" s="39">
        <v>85</v>
      </c>
      <c r="D184" s="39">
        <v>15</v>
      </c>
      <c r="E184" s="39">
        <v>80</v>
      </c>
      <c r="F184" s="39">
        <v>7.5</v>
      </c>
      <c r="G184" s="39">
        <v>-25</v>
      </c>
      <c r="H184" s="49">
        <f t="shared" si="162"/>
        <v>28.308766233290488</v>
      </c>
      <c r="I184" s="40">
        <v>2</v>
      </c>
      <c r="J184" s="41">
        <v>1</v>
      </c>
      <c r="K184" s="22">
        <v>600</v>
      </c>
      <c r="L184" s="46">
        <f t="shared" si="173"/>
        <v>131.18883237522274</v>
      </c>
      <c r="M184" s="39">
        <v>120</v>
      </c>
      <c r="N184" s="22">
        <v>12</v>
      </c>
      <c r="O184" s="22">
        <v>4</v>
      </c>
      <c r="P184" s="22">
        <v>800</v>
      </c>
      <c r="Q184" s="22">
        <v>80</v>
      </c>
      <c r="R184" s="49">
        <f t="shared" si="163"/>
        <v>1.6241338582677165</v>
      </c>
      <c r="S184" s="50">
        <f t="shared" si="164"/>
        <v>331660438.59263486</v>
      </c>
      <c r="T184" s="39">
        <v>21.5</v>
      </c>
      <c r="U184" s="54">
        <f t="shared" si="165"/>
        <v>1.098771321020616</v>
      </c>
      <c r="V184" s="54">
        <f t="shared" si="166"/>
        <v>15.25315443766586</v>
      </c>
      <c r="W184" s="54">
        <f t="shared" si="167"/>
        <v>0.07203567796490215</v>
      </c>
      <c r="X184" s="55">
        <f t="shared" si="168"/>
        <v>135.29148282578262</v>
      </c>
      <c r="Y184" s="42">
        <v>16</v>
      </c>
      <c r="Z184" s="43">
        <v>4</v>
      </c>
      <c r="AA184" s="43">
        <v>3</v>
      </c>
      <c r="AB184" s="158">
        <f t="shared" si="148"/>
        <v>3.694276779870555</v>
      </c>
      <c r="AC184" s="59">
        <f t="shared" si="147"/>
        <v>113.09724</v>
      </c>
      <c r="AD184" s="59">
        <f t="shared" si="169"/>
        <v>42.875417921225775</v>
      </c>
      <c r="AE184" s="60">
        <f t="shared" si="170"/>
        <v>66.0181993963227</v>
      </c>
      <c r="AF184" s="61">
        <f t="shared" si="171"/>
        <v>84.75653715612177</v>
      </c>
      <c r="AG184" s="62">
        <f t="shared" si="172"/>
        <v>0.012809631403417742</v>
      </c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</row>
    <row r="185" spans="1:65" s="22" customFormat="1" ht="12.75">
      <c r="A185" s="38" t="s">
        <v>71</v>
      </c>
      <c r="B185" s="39">
        <v>24</v>
      </c>
      <c r="C185" s="39">
        <v>85</v>
      </c>
      <c r="D185" s="39">
        <v>15</v>
      </c>
      <c r="E185" s="39">
        <v>80</v>
      </c>
      <c r="F185" s="39">
        <v>7.5</v>
      </c>
      <c r="G185" s="39">
        <v>-25</v>
      </c>
      <c r="H185" s="49">
        <f t="shared" si="162"/>
        <v>28.308766233290488</v>
      </c>
      <c r="I185" s="40">
        <v>2</v>
      </c>
      <c r="J185" s="41">
        <v>1</v>
      </c>
      <c r="K185" s="22">
        <v>600</v>
      </c>
      <c r="L185" s="46">
        <f t="shared" si="173"/>
        <v>131.18883237522274</v>
      </c>
      <c r="M185" s="39">
        <v>120</v>
      </c>
      <c r="N185" s="22">
        <v>12</v>
      </c>
      <c r="O185" s="22">
        <v>4</v>
      </c>
      <c r="P185" s="22">
        <v>800</v>
      </c>
      <c r="Q185" s="22">
        <v>80</v>
      </c>
      <c r="R185" s="49">
        <f t="shared" si="163"/>
        <v>1.6241338582677165</v>
      </c>
      <c r="S185" s="50">
        <f t="shared" si="164"/>
        <v>331660438.59263486</v>
      </c>
      <c r="T185" s="39">
        <v>21.5</v>
      </c>
      <c r="U185" s="54">
        <f t="shared" si="165"/>
        <v>1.098771321020616</v>
      </c>
      <c r="V185" s="54">
        <f t="shared" si="166"/>
        <v>15.25315443766586</v>
      </c>
      <c r="W185" s="54">
        <f t="shared" si="167"/>
        <v>0.07203567796490215</v>
      </c>
      <c r="X185" s="55">
        <f t="shared" si="168"/>
        <v>135.29148282578262</v>
      </c>
      <c r="Y185" s="42">
        <v>17</v>
      </c>
      <c r="Z185" s="43">
        <v>4</v>
      </c>
      <c r="AA185" s="43">
        <v>3</v>
      </c>
      <c r="AB185" s="158">
        <f t="shared" si="148"/>
        <v>3.694276779870555</v>
      </c>
      <c r="AC185" s="59">
        <f t="shared" si="147"/>
        <v>113.09724</v>
      </c>
      <c r="AD185" s="59">
        <f t="shared" si="169"/>
        <v>42.875417921225775</v>
      </c>
      <c r="AE185" s="60">
        <f t="shared" si="170"/>
        <v>26.282318566706643</v>
      </c>
      <c r="AF185" s="61">
        <f t="shared" si="171"/>
        <v>34.70247423222203</v>
      </c>
      <c r="AG185" s="62">
        <f t="shared" si="172"/>
        <v>0.031285953639348954</v>
      </c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</row>
    <row r="186" spans="1:65" s="22" customFormat="1" ht="12.75">
      <c r="A186" s="38" t="s">
        <v>71</v>
      </c>
      <c r="B186" s="39">
        <v>24</v>
      </c>
      <c r="C186" s="39">
        <v>85</v>
      </c>
      <c r="D186" s="39">
        <v>15</v>
      </c>
      <c r="E186" s="39">
        <v>80</v>
      </c>
      <c r="F186" s="39">
        <v>7.5</v>
      </c>
      <c r="G186" s="39">
        <v>-25</v>
      </c>
      <c r="H186" s="49">
        <f t="shared" si="162"/>
        <v>28.308766233290488</v>
      </c>
      <c r="I186" s="40">
        <v>2</v>
      </c>
      <c r="J186" s="41">
        <v>1</v>
      </c>
      <c r="K186" s="22">
        <v>600</v>
      </c>
      <c r="L186" s="46">
        <f t="shared" si="173"/>
        <v>131.18883237522274</v>
      </c>
      <c r="M186" s="39">
        <v>120</v>
      </c>
      <c r="N186" s="22">
        <v>12</v>
      </c>
      <c r="O186" s="22">
        <v>4</v>
      </c>
      <c r="P186" s="22">
        <v>800</v>
      </c>
      <c r="Q186" s="22">
        <v>80</v>
      </c>
      <c r="R186" s="49">
        <f t="shared" si="163"/>
        <v>1.6241338582677165</v>
      </c>
      <c r="S186" s="50">
        <f t="shared" si="164"/>
        <v>331660438.59263486</v>
      </c>
      <c r="T186" s="39">
        <v>21.5</v>
      </c>
      <c r="U186" s="54">
        <f t="shared" si="165"/>
        <v>1.098771321020616</v>
      </c>
      <c r="V186" s="54">
        <f t="shared" si="166"/>
        <v>15.25315443766586</v>
      </c>
      <c r="W186" s="54">
        <f t="shared" si="167"/>
        <v>0.07203567796490215</v>
      </c>
      <c r="X186" s="55">
        <f t="shared" si="168"/>
        <v>135.29148282578262</v>
      </c>
      <c r="Y186" s="42">
        <v>18</v>
      </c>
      <c r="Z186" s="43">
        <v>4</v>
      </c>
      <c r="AA186" s="43">
        <v>3</v>
      </c>
      <c r="AB186" s="158">
        <f t="shared" si="148"/>
        <v>3.694276779870555</v>
      </c>
      <c r="AC186" s="59">
        <f t="shared" si="147"/>
        <v>113.09724</v>
      </c>
      <c r="AD186" s="59">
        <f t="shared" si="169"/>
        <v>42.875417921225775</v>
      </c>
      <c r="AE186" s="60">
        <f t="shared" si="170"/>
        <v>10.46317948017723</v>
      </c>
      <c r="AF186" s="61">
        <f t="shared" si="171"/>
        <v>13.976848054765142</v>
      </c>
      <c r="AG186" s="62">
        <f t="shared" si="172"/>
        <v>0.07767845767128098</v>
      </c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</row>
    <row r="187" spans="1:65" s="22" customFormat="1" ht="12.75">
      <c r="A187" s="38" t="s">
        <v>71</v>
      </c>
      <c r="B187" s="39">
        <v>24</v>
      </c>
      <c r="C187" s="39">
        <v>85</v>
      </c>
      <c r="D187" s="39">
        <v>15</v>
      </c>
      <c r="E187" s="39">
        <v>80</v>
      </c>
      <c r="F187" s="39">
        <v>7.5</v>
      </c>
      <c r="G187" s="39">
        <v>-25</v>
      </c>
      <c r="H187" s="49">
        <f t="shared" si="162"/>
        <v>28.308766233290488</v>
      </c>
      <c r="I187" s="40">
        <v>2</v>
      </c>
      <c r="J187" s="41">
        <v>1</v>
      </c>
      <c r="K187" s="22">
        <v>600</v>
      </c>
      <c r="L187" s="46">
        <f t="shared" si="173"/>
        <v>131.18883237522274</v>
      </c>
      <c r="M187" s="39">
        <v>120</v>
      </c>
      <c r="N187" s="22">
        <v>12</v>
      </c>
      <c r="O187" s="22">
        <v>4</v>
      </c>
      <c r="P187" s="22">
        <v>800</v>
      </c>
      <c r="Q187" s="22">
        <v>80</v>
      </c>
      <c r="R187" s="49">
        <f t="shared" si="163"/>
        <v>1.6241338582677165</v>
      </c>
      <c r="S187" s="50">
        <f t="shared" si="164"/>
        <v>331660438.59263486</v>
      </c>
      <c r="T187" s="39">
        <v>21.5</v>
      </c>
      <c r="U187" s="54">
        <f t="shared" si="165"/>
        <v>1.098771321020616</v>
      </c>
      <c r="V187" s="54">
        <f t="shared" si="166"/>
        <v>15.25315443766586</v>
      </c>
      <c r="W187" s="54">
        <f t="shared" si="167"/>
        <v>0.07203567796490215</v>
      </c>
      <c r="X187" s="55">
        <f t="shared" si="168"/>
        <v>135.29148282578262</v>
      </c>
      <c r="Y187" s="42">
        <v>19</v>
      </c>
      <c r="Z187" s="43">
        <v>4</v>
      </c>
      <c r="AA187" s="43">
        <v>3</v>
      </c>
      <c r="AB187" s="158">
        <f t="shared" si="148"/>
        <v>3.694276779870555</v>
      </c>
      <c r="AC187" s="59">
        <f t="shared" si="147"/>
        <v>113.09724</v>
      </c>
      <c r="AD187" s="59">
        <f t="shared" si="169"/>
        <v>42.875417921225775</v>
      </c>
      <c r="AE187" s="60">
        <f t="shared" si="170"/>
        <v>4.16546677784677</v>
      </c>
      <c r="AF187" s="61">
        <f t="shared" si="171"/>
        <v>5.590521716145038</v>
      </c>
      <c r="AG187" s="62">
        <f t="shared" si="172"/>
        <v>0.19420369960545433</v>
      </c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</row>
    <row r="188" spans="1:65" s="22" customFormat="1" ht="12.75">
      <c r="A188" s="38" t="s">
        <v>71</v>
      </c>
      <c r="B188" s="39">
        <v>24</v>
      </c>
      <c r="C188" s="39">
        <v>85</v>
      </c>
      <c r="D188" s="39">
        <v>15</v>
      </c>
      <c r="E188" s="39">
        <v>80</v>
      </c>
      <c r="F188" s="39">
        <v>7.5</v>
      </c>
      <c r="G188" s="39">
        <v>-25</v>
      </c>
      <c r="H188" s="49">
        <f t="shared" si="162"/>
        <v>28.308766233290488</v>
      </c>
      <c r="I188" s="40">
        <v>2</v>
      </c>
      <c r="J188" s="41">
        <v>1</v>
      </c>
      <c r="K188" s="22">
        <v>600</v>
      </c>
      <c r="L188" s="46">
        <f t="shared" si="173"/>
        <v>131.18883237522274</v>
      </c>
      <c r="M188" s="39">
        <v>120</v>
      </c>
      <c r="N188" s="22">
        <v>12</v>
      </c>
      <c r="O188" s="22">
        <v>4</v>
      </c>
      <c r="P188" s="22">
        <v>800</v>
      </c>
      <c r="Q188" s="22">
        <v>80</v>
      </c>
      <c r="R188" s="49">
        <f t="shared" si="163"/>
        <v>1.6241338582677165</v>
      </c>
      <c r="S188" s="50">
        <f t="shared" si="164"/>
        <v>331660438.59263486</v>
      </c>
      <c r="T188" s="39">
        <v>21.5</v>
      </c>
      <c r="U188" s="54">
        <f t="shared" si="165"/>
        <v>1.098771321020616</v>
      </c>
      <c r="V188" s="54">
        <f t="shared" si="166"/>
        <v>15.25315443766586</v>
      </c>
      <c r="W188" s="54">
        <f t="shared" si="167"/>
        <v>0.07203567796490215</v>
      </c>
      <c r="X188" s="55">
        <f t="shared" si="168"/>
        <v>135.29148282578262</v>
      </c>
      <c r="Y188" s="42">
        <v>20</v>
      </c>
      <c r="Z188" s="43">
        <v>4</v>
      </c>
      <c r="AA188" s="43">
        <v>3</v>
      </c>
      <c r="AB188" s="158">
        <f t="shared" si="148"/>
        <v>3.694276779870555</v>
      </c>
      <c r="AC188" s="59">
        <f t="shared" si="147"/>
        <v>113.09724</v>
      </c>
      <c r="AD188" s="59">
        <f t="shared" si="169"/>
        <v>42.875417921225775</v>
      </c>
      <c r="AE188" s="60">
        <f t="shared" si="170"/>
        <v>1.6583021929631714</v>
      </c>
      <c r="AF188" s="61">
        <f t="shared" si="171"/>
        <v>2.2298265880684855</v>
      </c>
      <c r="AG188" s="62">
        <f t="shared" si="172"/>
        <v>0.4868988493587083</v>
      </c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</row>
    <row r="189" spans="1:65" s="22" customFormat="1" ht="12.75">
      <c r="A189" s="38" t="s">
        <v>71</v>
      </c>
      <c r="B189" s="39">
        <v>24</v>
      </c>
      <c r="C189" s="39">
        <v>85</v>
      </c>
      <c r="D189" s="39">
        <v>15</v>
      </c>
      <c r="E189" s="39">
        <v>80</v>
      </c>
      <c r="F189" s="39">
        <v>7.5</v>
      </c>
      <c r="G189" s="39">
        <v>-25</v>
      </c>
      <c r="H189" s="49">
        <f t="shared" si="162"/>
        <v>28.308766233290488</v>
      </c>
      <c r="I189" s="40">
        <v>2</v>
      </c>
      <c r="J189" s="41">
        <v>1</v>
      </c>
      <c r="K189" s="22">
        <v>600</v>
      </c>
      <c r="L189" s="46">
        <f t="shared" si="173"/>
        <v>131.18883237522274</v>
      </c>
      <c r="M189" s="39">
        <v>120</v>
      </c>
      <c r="N189" s="22">
        <v>12</v>
      </c>
      <c r="O189" s="22">
        <v>4</v>
      </c>
      <c r="P189" s="22">
        <v>800</v>
      </c>
      <c r="Q189" s="22">
        <v>80</v>
      </c>
      <c r="R189" s="49">
        <f t="shared" si="163"/>
        <v>1.6241338582677165</v>
      </c>
      <c r="S189" s="50">
        <f t="shared" si="164"/>
        <v>331660438.59263486</v>
      </c>
      <c r="T189" s="39">
        <v>21.5</v>
      </c>
      <c r="U189" s="54">
        <f t="shared" si="165"/>
        <v>1.098771321020616</v>
      </c>
      <c r="V189" s="54">
        <f t="shared" si="166"/>
        <v>15.25315443766586</v>
      </c>
      <c r="W189" s="54">
        <f t="shared" si="167"/>
        <v>0.07203567796490215</v>
      </c>
      <c r="X189" s="55">
        <f t="shared" si="168"/>
        <v>135.29148282578262</v>
      </c>
      <c r="Y189" s="42">
        <v>21</v>
      </c>
      <c r="Z189" s="43">
        <v>4</v>
      </c>
      <c r="AA189" s="43">
        <v>3</v>
      </c>
      <c r="AB189" s="158">
        <f t="shared" si="148"/>
        <v>3.694276779870555</v>
      </c>
      <c r="AC189" s="59">
        <f t="shared" si="147"/>
        <v>113.09724</v>
      </c>
      <c r="AD189" s="59">
        <f t="shared" si="169"/>
        <v>42.875417921225775</v>
      </c>
      <c r="AE189" s="60">
        <f t="shared" si="170"/>
        <v>0.6601819939632256</v>
      </c>
      <c r="AF189" s="61">
        <f t="shared" si="171"/>
        <v>0.8883782172505278</v>
      </c>
      <c r="AG189" s="62">
        <f t="shared" si="172"/>
        <v>1.2221146116798882</v>
      </c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</row>
    <row r="190" spans="1:65" s="22" customFormat="1" ht="12.75">
      <c r="A190" s="38" t="s">
        <v>71</v>
      </c>
      <c r="B190" s="39">
        <v>24</v>
      </c>
      <c r="C190" s="39">
        <v>85</v>
      </c>
      <c r="D190" s="39">
        <v>15</v>
      </c>
      <c r="E190" s="39">
        <v>80</v>
      </c>
      <c r="F190" s="39">
        <v>7.5</v>
      </c>
      <c r="G190" s="39">
        <v>-25</v>
      </c>
      <c r="H190" s="49">
        <f>B190*B190*(E190/16.022)*EXP(0.69315*(G190-25)/F190)</f>
        <v>28.308766233290488</v>
      </c>
      <c r="I190" s="40">
        <v>2</v>
      </c>
      <c r="J190" s="41">
        <v>1</v>
      </c>
      <c r="K190" s="22">
        <v>600</v>
      </c>
      <c r="L190" s="46">
        <f t="shared" si="173"/>
        <v>131.18883237522274</v>
      </c>
      <c r="M190" s="39">
        <v>120</v>
      </c>
      <c r="N190" s="22">
        <v>12</v>
      </c>
      <c r="O190" s="22">
        <v>4</v>
      </c>
      <c r="P190" s="22">
        <v>800</v>
      </c>
      <c r="Q190" s="22">
        <v>80</v>
      </c>
      <c r="R190" s="49">
        <f>B190*J190/((25.4*M190/206265)*1000)</f>
        <v>1.6241338582677165</v>
      </c>
      <c r="S190" s="50">
        <f>940*P190*Q190/100*C190/100*3.14159*(N190*N190-O190*O190)/4*2.54*2.54</f>
        <v>331660438.59263486</v>
      </c>
      <c r="T190" s="39">
        <v>21.5</v>
      </c>
      <c r="U190" s="54">
        <f>(S190*(EXP(-0.4*LN(10)*T190))*R190*R190)/I190</f>
        <v>1.098771321020616</v>
      </c>
      <c r="V190" s="54">
        <f>(S190*(EXP(-0.4*LN(10)*T190))*R190*R190+(J190*J190*H190))/I190</f>
        <v>15.25315443766586</v>
      </c>
      <c r="W190" s="54">
        <f>U190/V190</f>
        <v>0.07203567796490215</v>
      </c>
      <c r="X190" s="55">
        <f>SQRT(V190*K190*I190)</f>
        <v>135.29148282578262</v>
      </c>
      <c r="Y190" s="42">
        <v>22</v>
      </c>
      <c r="Z190" s="43">
        <v>4</v>
      </c>
      <c r="AA190" s="43">
        <v>3</v>
      </c>
      <c r="AB190" s="158">
        <f t="shared" si="148"/>
        <v>3.694276779870555</v>
      </c>
      <c r="AC190" s="59">
        <f t="shared" si="147"/>
        <v>113.09724</v>
      </c>
      <c r="AD190" s="59">
        <f>AC190/(R190*R190)</f>
        <v>42.875417921225775</v>
      </c>
      <c r="AE190" s="60">
        <f>S190*EXP(-0.4*LN(10)*Y190)/I190</f>
        <v>0.2628231856670658</v>
      </c>
      <c r="AF190" s="61">
        <f>SQRT((AE190*K190*I190)/(1+(MAX(1,AD190))*(V190*I190*K190+(I190*I190-1)/12+D190*D190)/(AE190*K190*I190)))</f>
        <v>0.35377581840335687</v>
      </c>
      <c r="AG190" s="62">
        <f>1.0857/AF190</f>
        <v>3.0688926249960398</v>
      </c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</row>
  </sheetData>
  <printOptions horizontalCentered="1" verticalCentered="1"/>
  <pageMargins left="0.3" right="0.3" top="0.7" bottom="0.7" header="0.5" footer="0.5"/>
  <pageSetup fitToHeight="0" orientation="portrait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aavso aavso</cp:lastModifiedBy>
  <cp:lastPrinted>1996-06-17T19:47:27Z</cp:lastPrinted>
  <dcterms:created xsi:type="dcterms:W3CDTF">1996-09-13T18:49:45Z</dcterms:created>
  <dcterms:modified xsi:type="dcterms:W3CDTF">2007-06-16T18:23:41Z</dcterms:modified>
  <cp:category/>
  <cp:version/>
  <cp:contentType/>
  <cp:contentStatus/>
</cp:coreProperties>
</file>